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520" windowHeight="8295" activeTab="0"/>
  </bookViews>
  <sheets>
    <sheet name="Construct &amp; Scrutinize 79 tones" sheetId="1" r:id="rId1"/>
    <sheet name="Inspect &amp; Adjust Beats" sheetId="2" r:id="rId2"/>
    <sheet name="79-tone Qanun Layout" sheetId="3" r:id="rId3"/>
    <sheet name="Table of Mandals" sheetId="4" r:id="rId4"/>
  </sheets>
  <definedNames>
    <definedName name="cycleof5ths">'Inspect &amp; Adjust Beats'!$H$90</definedName>
  </definedNames>
  <calcPr fullCalcOnLoad="1"/>
</workbook>
</file>

<file path=xl/comments1.xml><?xml version="1.0" encoding="utf-8"?>
<comments xmlns="http://schemas.openxmlformats.org/spreadsheetml/2006/main">
  <authors>
    <author>Ozan Yarman</author>
  </authors>
  <commentList>
    <comment ref="B55" authorId="0">
      <text>
        <r>
          <rPr>
            <b/>
            <sz val="10"/>
            <rFont val="Tahoma"/>
            <family val="0"/>
          </rPr>
          <t>Ozan Yarman:</t>
        </r>
        <r>
          <rPr>
            <sz val="10"/>
            <rFont val="Tahoma"/>
            <family val="0"/>
          </rPr>
          <t xml:space="preserve">
Temperament via narrowing the (B) fifths by 19/53 of a syntonic comma.</t>
        </r>
      </text>
    </comment>
    <comment ref="B56" authorId="0">
      <text>
        <r>
          <rPr>
            <b/>
            <sz val="10"/>
            <rFont val="Tahoma"/>
            <family val="0"/>
          </rPr>
          <t>Ozan Yarman:</t>
        </r>
        <r>
          <rPr>
            <sz val="10"/>
            <rFont val="Tahoma"/>
            <family val="0"/>
          </rPr>
          <t xml:space="preserve">
79-tone</t>
        </r>
        <r>
          <rPr>
            <b/>
            <sz val="10"/>
            <rFont val="Tahoma"/>
            <family val="2"/>
          </rPr>
          <t xml:space="preserve"> </t>
        </r>
        <r>
          <rPr>
            <i/>
            <sz val="10"/>
            <rFont val="Tahoma"/>
            <family val="2"/>
          </rPr>
          <t>Moment of Symmetry</t>
        </r>
        <r>
          <rPr>
            <sz val="10"/>
            <rFont val="Tahoma"/>
            <family val="0"/>
          </rPr>
          <t xml:space="preserve"> out of 159-tone equal temperament. Since there are only 2 comma sizes, all similar variations produce MOS scales.</t>
        </r>
      </text>
    </comment>
    <comment ref="C8" authorId="0">
      <text>
        <r>
          <rPr>
            <b/>
            <sz val="10"/>
            <rFont val="Tahoma"/>
            <family val="0"/>
          </rPr>
          <t>Ozan Yarman:</t>
        </r>
        <r>
          <rPr>
            <sz val="10"/>
            <rFont val="Tahoma"/>
            <family val="0"/>
          </rPr>
          <t xml:space="preserve">
To modify, type =C14 ... C17</t>
        </r>
      </text>
    </comment>
    <comment ref="C7" authorId="0">
      <text>
        <r>
          <rPr>
            <b/>
            <sz val="10"/>
            <rFont val="Tahoma"/>
            <family val="0"/>
          </rPr>
          <t>Ozan Yarman:</t>
        </r>
        <r>
          <rPr>
            <sz val="10"/>
            <rFont val="Tahoma"/>
            <family val="0"/>
          </rPr>
          <t xml:space="preserve">
I do not recommend tampering with the pure fifths.</t>
        </r>
      </text>
    </comment>
    <comment ref="E14" authorId="0">
      <text>
        <r>
          <rPr>
            <b/>
            <sz val="10"/>
            <rFont val="Tahoma"/>
            <family val="0"/>
          </rPr>
          <t>Ozan Yarman:</t>
        </r>
        <r>
          <rPr>
            <sz val="10"/>
            <rFont val="Tahoma"/>
            <family val="0"/>
          </rPr>
          <t xml:space="preserve">
Type any numerator greater than 1.</t>
        </r>
      </text>
    </comment>
    <comment ref="E16" authorId="0">
      <text>
        <r>
          <rPr>
            <b/>
            <sz val="10"/>
            <rFont val="Tahoma"/>
            <family val="0"/>
          </rPr>
          <t>Ozan Yarman:</t>
        </r>
        <r>
          <rPr>
            <sz val="10"/>
            <rFont val="Tahoma"/>
            <family val="0"/>
          </rPr>
          <t xml:space="preserve">
Type any denominator greater than 1.</t>
        </r>
      </text>
    </comment>
    <comment ref="G10" authorId="0">
      <text>
        <r>
          <rPr>
            <b/>
            <sz val="10"/>
            <rFont val="Tahoma"/>
            <family val="0"/>
          </rPr>
          <t>Ozan Yarman:</t>
        </r>
        <r>
          <rPr>
            <sz val="10"/>
            <rFont val="Tahoma"/>
            <family val="0"/>
          </rPr>
          <t xml:space="preserve">
Originally, the formal octave is considered to be exactly 1200 cents wide.</t>
        </r>
      </text>
    </comment>
    <comment ref="H23" authorId="0">
      <text>
        <r>
          <rPr>
            <b/>
            <sz val="10"/>
            <rFont val="Tahoma"/>
            <family val="0"/>
          </rPr>
          <t>Ozan Yarman:</t>
        </r>
        <r>
          <rPr>
            <sz val="10"/>
            <rFont val="Tahoma"/>
            <family val="0"/>
          </rPr>
          <t xml:space="preserve">
Reference tone is always assumed to be C4.</t>
        </r>
      </text>
    </comment>
  </commentList>
</comments>
</file>

<file path=xl/comments2.xml><?xml version="1.0" encoding="utf-8"?>
<comments xmlns="http://schemas.openxmlformats.org/spreadsheetml/2006/main">
  <authors>
    <author>Ozan Yarman</author>
  </authors>
  <commentList>
    <comment ref="A4" authorId="0">
      <text>
        <r>
          <rPr>
            <b/>
            <sz val="10"/>
            <rFont val="Tahoma"/>
            <family val="0"/>
          </rPr>
          <t>Ozan Yarman:</t>
        </r>
        <r>
          <rPr>
            <sz val="10"/>
            <rFont val="Tahoma"/>
            <family val="0"/>
          </rPr>
          <t xml:space="preserve">
Modify at will.</t>
        </r>
      </text>
    </comment>
    <comment ref="D4" authorId="0">
      <text>
        <r>
          <rPr>
            <b/>
            <sz val="10"/>
            <rFont val="Tahoma"/>
            <family val="0"/>
          </rPr>
          <t>Ozan Yarman:</t>
        </r>
        <r>
          <rPr>
            <sz val="10"/>
            <rFont val="Tahoma"/>
            <family val="0"/>
          </rPr>
          <t xml:space="preserve">
Modify beat frequencies at will.</t>
        </r>
      </text>
    </comment>
    <comment ref="F130" authorId="0">
      <text>
        <r>
          <rPr>
            <b/>
            <sz val="10"/>
            <rFont val="Tahoma"/>
            <family val="0"/>
          </rPr>
          <t>Ozan Yarman:</t>
        </r>
        <r>
          <rPr>
            <sz val="10"/>
            <rFont val="Tahoma"/>
            <family val="0"/>
          </rPr>
          <t xml:space="preserve">
Paste-Special the Value content of this cell to cell A2</t>
        </r>
      </text>
    </comment>
    <comment ref="I88" authorId="0">
      <text>
        <r>
          <rPr>
            <b/>
            <sz val="10"/>
            <rFont val="Tahoma"/>
            <family val="0"/>
          </rPr>
          <t>Ozan Yarman:</t>
        </r>
        <r>
          <rPr>
            <sz val="10"/>
            <rFont val="Tahoma"/>
            <family val="0"/>
          </rPr>
          <t xml:space="preserve">
A quick insertion of one noticably tempered fifth between steps 45-46 yields a complete cycle of functional Pythagorean fifths over 80 tones instead of 79.
Assume the original fifth at step 46 to flexibly accomodate both the pure and the tempered sizes in order to preserve the cardinality of 79 tones per octave.
Acquire the tempered fifth by rising a comma (as seen between steps 0-1 thru 44-45) after step 45.</t>
        </r>
      </text>
    </comment>
    <comment ref="I6" authorId="0">
      <text>
        <r>
          <rPr>
            <b/>
            <sz val="10"/>
            <rFont val="Tahoma"/>
            <family val="0"/>
          </rPr>
          <t>Ozan Yarman:</t>
        </r>
        <r>
          <rPr>
            <sz val="10"/>
            <rFont val="Tahoma"/>
            <family val="0"/>
          </rPr>
          <t xml:space="preserve">
To see old beat frequencies, select all cells from I6 to P85, and automatically replace every instance of "F" with "A".</t>
        </r>
      </text>
    </comment>
  </commentList>
</comments>
</file>

<file path=xl/comments3.xml><?xml version="1.0" encoding="utf-8"?>
<comments xmlns="http://schemas.openxmlformats.org/spreadsheetml/2006/main">
  <authors>
    <author>Ozan Yarman</author>
  </authors>
  <commentList>
    <comment ref="E12" authorId="0">
      <text>
        <r>
          <rPr>
            <b/>
            <sz val="10"/>
            <rFont val="Tahoma"/>
            <family val="0"/>
          </rPr>
          <t>Ozan Yarman:</t>
        </r>
        <r>
          <rPr>
            <sz val="10"/>
            <rFont val="Tahoma"/>
            <family val="0"/>
          </rPr>
          <t xml:space="preserve">
Reference tone (1/1)</t>
        </r>
      </text>
    </comment>
    <comment ref="J71" authorId="0">
      <text>
        <r>
          <rPr>
            <b/>
            <sz val="10"/>
            <rFont val="Tahoma"/>
            <family val="0"/>
          </rPr>
          <t>Ozan Yarman:</t>
        </r>
        <r>
          <rPr>
            <sz val="10"/>
            <rFont val="Tahoma"/>
            <family val="0"/>
          </rPr>
          <t xml:space="preserve">
Diapason A4</t>
        </r>
      </text>
    </comment>
    <comment ref="J108" authorId="0">
      <text>
        <r>
          <rPr>
            <b/>
            <sz val="10"/>
            <rFont val="Tahoma"/>
            <family val="0"/>
          </rPr>
          <t>Ozan Yarman:</t>
        </r>
        <r>
          <rPr>
            <sz val="10"/>
            <rFont val="Tahoma"/>
            <family val="0"/>
          </rPr>
          <t xml:space="preserve">
Reference tone (1/1)</t>
        </r>
      </text>
    </comment>
    <comment ref="A55" authorId="0">
      <text>
        <r>
          <rPr>
            <b/>
            <sz val="10"/>
            <rFont val="Tahoma"/>
            <family val="0"/>
          </rPr>
          <t>Ozan Yarman:</t>
        </r>
        <r>
          <rPr>
            <sz val="10"/>
            <rFont val="Tahoma"/>
            <family val="0"/>
          </rPr>
          <t xml:space="preserve">
Diapason A4</t>
        </r>
      </text>
    </comment>
    <comment ref="A18" authorId="0">
      <text>
        <r>
          <rPr>
            <b/>
            <sz val="10"/>
            <rFont val="Tahoma"/>
            <family val="0"/>
          </rPr>
          <t>Ozan Yarman:</t>
        </r>
        <r>
          <rPr>
            <sz val="10"/>
            <rFont val="Tahoma"/>
            <family val="0"/>
          </rPr>
          <t xml:space="preserve">
Available mandal sizes may preclude the possibility of reaching as high as to accomodate all of the 19 pitches here. Hence, installing only the last double-sharp mandal is sufficient.
</t>
        </r>
      </text>
    </comment>
  </commentList>
</comments>
</file>

<file path=xl/comments4.xml><?xml version="1.0" encoding="utf-8"?>
<comments xmlns="http://schemas.openxmlformats.org/spreadsheetml/2006/main">
  <authors>
    <author>Ozan Yarman</author>
  </authors>
  <commentList>
    <comment ref="B14" authorId="0">
      <text>
        <r>
          <rPr>
            <b/>
            <sz val="10"/>
            <rFont val="Tahoma"/>
            <family val="0"/>
          </rPr>
          <t>Ozan Yarman:</t>
        </r>
        <r>
          <rPr>
            <sz val="10"/>
            <rFont val="Tahoma"/>
            <family val="0"/>
          </rPr>
          <t xml:space="preserve">
Diapason</t>
        </r>
      </text>
    </comment>
    <comment ref="B19" authorId="0">
      <text>
        <r>
          <rPr>
            <b/>
            <sz val="10"/>
            <rFont val="Tahoma"/>
            <family val="0"/>
          </rPr>
          <t>Ozan Yarman:</t>
        </r>
        <r>
          <rPr>
            <sz val="10"/>
            <rFont val="Tahoma"/>
            <family val="0"/>
          </rPr>
          <t xml:space="preserve">
Reference tone</t>
        </r>
      </text>
    </comment>
    <comment ref="B46" authorId="0">
      <text>
        <r>
          <rPr>
            <b/>
            <sz val="10"/>
            <rFont val="Tahoma"/>
            <family val="0"/>
          </rPr>
          <t>Ozan Yarman:</t>
        </r>
        <r>
          <rPr>
            <sz val="10"/>
            <rFont val="Tahoma"/>
            <family val="0"/>
          </rPr>
          <t xml:space="preserve">
Diapason</t>
        </r>
      </text>
    </comment>
    <comment ref="B51" authorId="0">
      <text>
        <r>
          <rPr>
            <b/>
            <sz val="10"/>
            <rFont val="Tahoma"/>
            <family val="0"/>
          </rPr>
          <t>Ozan Yarman:</t>
        </r>
        <r>
          <rPr>
            <sz val="10"/>
            <rFont val="Tahoma"/>
            <family val="0"/>
          </rPr>
          <t xml:space="preserve">
Reference tone</t>
        </r>
      </text>
    </comment>
    <comment ref="B78" authorId="0">
      <text>
        <r>
          <rPr>
            <b/>
            <sz val="10"/>
            <rFont val="Tahoma"/>
            <family val="0"/>
          </rPr>
          <t>Ozan Yarman:</t>
        </r>
        <r>
          <rPr>
            <sz val="10"/>
            <rFont val="Tahoma"/>
            <family val="0"/>
          </rPr>
          <t xml:space="preserve">
Diapason</t>
        </r>
      </text>
    </comment>
    <comment ref="B83" authorId="0">
      <text>
        <r>
          <rPr>
            <b/>
            <sz val="10"/>
            <rFont val="Tahoma"/>
            <family val="0"/>
          </rPr>
          <t>Ozan Yarman:</t>
        </r>
        <r>
          <rPr>
            <sz val="10"/>
            <rFont val="Tahoma"/>
            <family val="0"/>
          </rPr>
          <t xml:space="preserve">
Reference tone</t>
        </r>
      </text>
    </comment>
    <comment ref="B110" authorId="0">
      <text>
        <r>
          <rPr>
            <b/>
            <sz val="10"/>
            <rFont val="Tahoma"/>
            <family val="0"/>
          </rPr>
          <t>Ozan Yarman:</t>
        </r>
        <r>
          <rPr>
            <sz val="10"/>
            <rFont val="Tahoma"/>
            <family val="0"/>
          </rPr>
          <t xml:space="preserve">
Diapason</t>
        </r>
      </text>
    </comment>
    <comment ref="B115" authorId="0">
      <text>
        <r>
          <rPr>
            <b/>
            <sz val="10"/>
            <rFont val="Tahoma"/>
            <family val="0"/>
          </rPr>
          <t>Ozan Yarman:</t>
        </r>
        <r>
          <rPr>
            <sz val="10"/>
            <rFont val="Tahoma"/>
            <family val="0"/>
          </rPr>
          <t xml:space="preserve">
Reference tone</t>
        </r>
      </text>
    </comment>
  </commentList>
</comments>
</file>

<file path=xl/sharedStrings.xml><?xml version="1.0" encoding="utf-8"?>
<sst xmlns="http://schemas.openxmlformats.org/spreadsheetml/2006/main" count="3109" uniqueCount="694">
  <si>
    <t>over</t>
  </si>
  <si>
    <t>by Ozan Yarman</t>
  </si>
  <si>
    <t>46 instances of pure</t>
  </si>
  <si>
    <t>33 instances of tempered</t>
  </si>
  <si>
    <t>^ Modify ^</t>
  </si>
  <si>
    <t>AB AB AAB</t>
  </si>
  <si>
    <t>AB AAB</t>
  </si>
  <si>
    <t>AB A</t>
  </si>
  <si>
    <t xml:space="preserve">  1: C/|     Dbb</t>
  </si>
  <si>
    <t xml:space="preserve">  2: C|)     Dbb/|</t>
  </si>
  <si>
    <t xml:space="preserve">  3: C/|\    Dbb|)</t>
  </si>
  <si>
    <t xml:space="preserve">  4: C#!)    Db\!/</t>
  </si>
  <si>
    <t xml:space="preserve">  5: C#\!    Db!)</t>
  </si>
  <si>
    <t xml:space="preserve">  6: C#      Db\!</t>
  </si>
  <si>
    <t xml:space="preserve">  7: C#/|    Db</t>
  </si>
  <si>
    <t xml:space="preserve">  8: C#|)    Db/|</t>
  </si>
  <si>
    <t xml:space="preserve">  9: C#/|\   Db|)</t>
  </si>
  <si>
    <t xml:space="preserve"> 10: Cx!)    D\!/</t>
  </si>
  <si>
    <t xml:space="preserve"> 11: Cx\!    D!)</t>
  </si>
  <si>
    <t xml:space="preserve"> 12: Cx      D\!</t>
  </si>
  <si>
    <t xml:space="preserve"> 13: D</t>
  </si>
  <si>
    <t xml:space="preserve"> 14: D/|     Ebb</t>
  </si>
  <si>
    <t xml:space="preserve"> 15: D|)     Ebb/|</t>
  </si>
  <si>
    <t xml:space="preserve"> 16: D/|\    Ebb|)</t>
  </si>
  <si>
    <t xml:space="preserve"> 17: D#!)    Eb\!/</t>
  </si>
  <si>
    <t xml:space="preserve"> 18: D#\!    Eb!)</t>
  </si>
  <si>
    <t xml:space="preserve"> 19: D#      Eb\!</t>
  </si>
  <si>
    <t xml:space="preserve"> 20: D#/|    Eb</t>
  </si>
  <si>
    <t xml:space="preserve"> 21: D#|)    Eb/|</t>
  </si>
  <si>
    <t xml:space="preserve"> 22: D#/|\   Eb|)</t>
  </si>
  <si>
    <t xml:space="preserve"> 23: Dx!)    E\!/</t>
  </si>
  <si>
    <t xml:space="preserve"> 24: Dx\!    E!)</t>
  </si>
  <si>
    <t xml:space="preserve"> 25: Dx      E\!</t>
  </si>
  <si>
    <t xml:space="preserve"> 26: E</t>
  </si>
  <si>
    <t xml:space="preserve"> 27: E/|     Fb</t>
  </si>
  <si>
    <t xml:space="preserve"> 28: E|)     Fb/|</t>
  </si>
  <si>
    <t xml:space="preserve"> 29: E/|\    Fb|)</t>
  </si>
  <si>
    <t xml:space="preserve"> 30: E#!)    F\!/</t>
  </si>
  <si>
    <t xml:space="preserve"> 31: E#\!    F!)</t>
  </si>
  <si>
    <t xml:space="preserve"> 32: E#      F\!</t>
  </si>
  <si>
    <t xml:space="preserve"> 33: F</t>
  </si>
  <si>
    <t xml:space="preserve"> 34: F/|     Gbb</t>
  </si>
  <si>
    <t xml:space="preserve"> 35: F|)     Gbb/|</t>
  </si>
  <si>
    <t xml:space="preserve"> 36: F/|\    Gbb|)</t>
  </si>
  <si>
    <t xml:space="preserve"> 37: F#!)    Gb\!/</t>
  </si>
  <si>
    <t xml:space="preserve"> 38: F#\!    Gb!)</t>
  </si>
  <si>
    <t xml:space="preserve"> 39: F#      Gb\!</t>
  </si>
  <si>
    <t xml:space="preserve"> 40: F#/|    Gb</t>
  </si>
  <si>
    <t xml:space="preserve"> 41: F#|)    Gb/|</t>
  </si>
  <si>
    <t xml:space="preserve"> 42: F#/|\   Gb|)</t>
  </si>
  <si>
    <t xml:space="preserve"> 43: Fx!)    G\!/</t>
  </si>
  <si>
    <t xml:space="preserve"> 44: Fx\!    G!)</t>
  </si>
  <si>
    <t xml:space="preserve"> 45: Fx      G\!</t>
  </si>
  <si>
    <t xml:space="preserve"> 46: G</t>
  </si>
  <si>
    <t xml:space="preserve"> 47: G/|     Abb</t>
  </si>
  <si>
    <t xml:space="preserve"> 48: G|)     Abb/|</t>
  </si>
  <si>
    <t xml:space="preserve"> 49: G/|\    Abb|)</t>
  </si>
  <si>
    <t xml:space="preserve"> 50: G#!)    Ab\!/</t>
  </si>
  <si>
    <t xml:space="preserve"> 51: G#\!    Ab!)</t>
  </si>
  <si>
    <t xml:space="preserve"> 52: G#      Ab\!</t>
  </si>
  <si>
    <t xml:space="preserve"> 53: G#/|    Ab</t>
  </si>
  <si>
    <t xml:space="preserve"> 54: G#|)    Ab/|</t>
  </si>
  <si>
    <t xml:space="preserve"> 55: G#/|\   Ab|)</t>
  </si>
  <si>
    <t xml:space="preserve"> 56: Gx!)    A\!/</t>
  </si>
  <si>
    <t xml:space="preserve"> 57: Gx\!    A!)</t>
  </si>
  <si>
    <t xml:space="preserve"> 58: Gx      A\!</t>
  </si>
  <si>
    <t xml:space="preserve"> 59: A</t>
  </si>
  <si>
    <t xml:space="preserve"> 60: A/|     Bbb</t>
  </si>
  <si>
    <t xml:space="preserve"> 61: A|)     Bbb/|</t>
  </si>
  <si>
    <t xml:space="preserve"> 62: A/|\    Bbb|)</t>
  </si>
  <si>
    <t xml:space="preserve"> 63: A#!)    Bb\!/</t>
  </si>
  <si>
    <t xml:space="preserve"> 64: A#\!    Bb!)</t>
  </si>
  <si>
    <t xml:space="preserve"> 65: A#      Bb\!</t>
  </si>
  <si>
    <t xml:space="preserve"> 66: A#/|    Bb</t>
  </si>
  <si>
    <t xml:space="preserve"> 67: A#|)    Bb/|</t>
  </si>
  <si>
    <t xml:space="preserve"> 68: A#/|\   Bb|)</t>
  </si>
  <si>
    <t xml:space="preserve"> 69: Ax!)    B\!/</t>
  </si>
  <si>
    <t xml:space="preserve"> 70: Ax\!    B!)</t>
  </si>
  <si>
    <t xml:space="preserve"> 71: Ax      B\!</t>
  </si>
  <si>
    <t xml:space="preserve"> 72: B</t>
  </si>
  <si>
    <t xml:space="preserve"> 73: B/|     Cb</t>
  </si>
  <si>
    <t xml:space="preserve"> 74: B|)     Cb/|</t>
  </si>
  <si>
    <t xml:space="preserve"> 75: B/|\    Cb|)</t>
  </si>
  <si>
    <t xml:space="preserve"> 76: B#!)    C\!/</t>
  </si>
  <si>
    <t xml:space="preserve"> 77: B#\!    C!)</t>
  </si>
  <si>
    <t xml:space="preserve"> 78: B#      C\!</t>
  </si>
  <si>
    <t xml:space="preserve"> 79: C</t>
  </si>
  <si>
    <t xml:space="preserve">  0: C</t>
  </si>
  <si>
    <t>=</t>
  </si>
  <si>
    <t>(cents)</t>
  </si>
  <si>
    <t>1/1</t>
  </si>
  <si>
    <t>or</t>
  </si>
  <si>
    <t>In this fashion</t>
  </si>
  <si>
    <t>A 79-tone Tuning</t>
  </si>
  <si>
    <t>79:            C</t>
  </si>
  <si>
    <t>42:            F#/|\   Gb|)</t>
  </si>
  <si>
    <t>23:            Dx!)    E\!/</t>
  </si>
  <si>
    <t>43:            Fx!)    G\!/</t>
  </si>
  <si>
    <t>30:            E#!)    F\!/</t>
  </si>
  <si>
    <t>17:            D#!)    Eb\!/</t>
  </si>
  <si>
    <t>4:              C#!)    Db\!/</t>
  </si>
  <si>
    <t>37:            F#!)    Gb\!/</t>
  </si>
  <si>
    <t>70:            Ax\!    B!)</t>
  </si>
  <si>
    <t>24:            Dx\!    E!)</t>
  </si>
  <si>
    <t>11:            Cx\!    D!)</t>
  </si>
  <si>
    <t>44:            Fx\!    G!)</t>
  </si>
  <si>
    <t>77:            B#\!    C!)</t>
  </si>
  <si>
    <t>31:            E#\!    F!)</t>
  </si>
  <si>
    <t>64:            A#\!    Bb!)</t>
  </si>
  <si>
    <t>18:            D#\!    Eb!)</t>
  </si>
  <si>
    <t>51:            G#\!    Ab!)</t>
  </si>
  <si>
    <t>5:              C#\!    Db!)</t>
  </si>
  <si>
    <t>38:            F#\!    Gb!)</t>
  </si>
  <si>
    <t>71:            Ax      B\!</t>
  </si>
  <si>
    <t>25:            Dx      E\!</t>
  </si>
  <si>
    <t>58:            Gx      A\!</t>
  </si>
  <si>
    <t>12:            Cx      D\!</t>
  </si>
  <si>
    <t>45:            Fx      G\!</t>
  </si>
  <si>
    <t>78:            B#      C\!</t>
  </si>
  <si>
    <t>32:            E#      F\!</t>
  </si>
  <si>
    <t>72:            B</t>
  </si>
  <si>
    <t>26:            E</t>
  </si>
  <si>
    <t>59:            A</t>
  </si>
  <si>
    <t>13:            D</t>
  </si>
  <si>
    <t>46:            G</t>
  </si>
  <si>
    <t xml:space="preserve">  0:            C</t>
  </si>
  <si>
    <t>36:            F/|\     Gbb|)</t>
  </si>
  <si>
    <t>65:            A#      Bb\!</t>
  </si>
  <si>
    <t>19:            D#      Eb\!</t>
  </si>
  <si>
    <t>52:            G#      Ab\!</t>
  </si>
  <si>
    <t xml:space="preserve">  6:            C#      Db\!</t>
  </si>
  <si>
    <t>39:            F#      Gb\!</t>
  </si>
  <si>
    <t>25/24  (24/23)</t>
  </si>
  <si>
    <t>20/19  (256/243)</t>
  </si>
  <si>
    <t>16/15</t>
  </si>
  <si>
    <t>15/14</t>
  </si>
  <si>
    <t>14/13 &amp; 13/12 (27/25)</t>
  </si>
  <si>
    <t>12/11</t>
  </si>
  <si>
    <t>11/10</t>
  </si>
  <si>
    <t>10/9</t>
  </si>
  <si>
    <t>9/8</t>
  </si>
  <si>
    <t>8/7</t>
  </si>
  <si>
    <t>meantone 10/9 &amp; 9/8</t>
  </si>
  <si>
    <t>81/68 (32/27)</t>
  </si>
  <si>
    <t>6/5</t>
  </si>
  <si>
    <t>17/14</t>
  </si>
  <si>
    <t>11/9</t>
  </si>
  <si>
    <t>16/13  (21/17)</t>
  </si>
  <si>
    <t>36/29 (31/25)</t>
  </si>
  <si>
    <t>5/4</t>
  </si>
  <si>
    <t>81/64</t>
  </si>
  <si>
    <t>14/11 (51/40 &amp; 23/18)</t>
  </si>
  <si>
    <t>4/3</t>
  </si>
  <si>
    <t>3/2</t>
  </si>
  <si>
    <t>48/29 (28/17)</t>
  </si>
  <si>
    <t>5/3</t>
  </si>
  <si>
    <t>27/16 (17/10)</t>
  </si>
  <si>
    <t xml:space="preserve"> 2/1</t>
  </si>
  <si>
    <t>meantone 5/3 &amp; 27/16</t>
  </si>
  <si>
    <t>7/6</t>
  </si>
  <si>
    <t>ditto</t>
  </si>
  <si>
    <t>144/125</t>
  </si>
  <si>
    <t>81/70 (37/32)</t>
  </si>
  <si>
    <t>20/17 &amp; 13/11 (33/28)</t>
  </si>
  <si>
    <t>9/7</t>
  </si>
  <si>
    <t>125/96 (35/27)</t>
  </si>
  <si>
    <t>21/16</t>
  </si>
  <si>
    <t>33/25</t>
  </si>
  <si>
    <t>27/20</t>
  </si>
  <si>
    <t>49/36</t>
  </si>
  <si>
    <t>48/35</t>
  </si>
  <si>
    <t>11/8</t>
  </si>
  <si>
    <t>25/18 (32/23)</t>
  </si>
  <si>
    <t>7/5 &amp; 45/32</t>
  </si>
  <si>
    <t>24/17 &amp; 17/12 (64/45)</t>
  </si>
  <si>
    <t>10/7</t>
  </si>
  <si>
    <t>23/16 (36/25)</t>
  </si>
  <si>
    <t>16/11 &amp; 35/24 (131/90)</t>
  </si>
  <si>
    <t>72/49</t>
  </si>
  <si>
    <t>40/27</t>
  </si>
  <si>
    <t>50/33</t>
  </si>
  <si>
    <t>32/21 (75/49)</t>
  </si>
  <si>
    <t>91/59 &amp; 54/35 (192/125)</t>
  </si>
  <si>
    <t>14/9</t>
  </si>
  <si>
    <t>25/16 &amp; 11/7</t>
  </si>
  <si>
    <t>128/81 &amp; 19/12 (30/19)</t>
  </si>
  <si>
    <t>8/5</t>
  </si>
  <si>
    <t>6561/4096</t>
  </si>
  <si>
    <t>13/8 &amp; 81/50 (44/27)</t>
  </si>
  <si>
    <t>18/11 (64/39)</t>
  </si>
  <si>
    <t>128/75 &amp; 12/7</t>
  </si>
  <si>
    <t>216/125 &amp; 64/37</t>
  </si>
  <si>
    <t>125/72</t>
  </si>
  <si>
    <t>16/9</t>
  </si>
  <si>
    <t>7/4 (225/128)</t>
  </si>
  <si>
    <t>25/14 (16/9)</t>
  </si>
  <si>
    <t>9/5</t>
  </si>
  <si>
    <t>20/11 &amp; 29/16</t>
  </si>
  <si>
    <t>11/6 &amp; 64/35 (81/44)</t>
  </si>
  <si>
    <t>13/7 &amp; 50/27</t>
  </si>
  <si>
    <t>28/15 (13/7)</t>
  </si>
  <si>
    <t>243/128 &amp; 256/135</t>
  </si>
  <si>
    <t>21/11 (48/25)</t>
  </si>
  <si>
    <t>27/14 (31/16 &amp; 64/33)</t>
  </si>
  <si>
    <t>35/18 (243/125 &amp; 125/64)</t>
  </si>
  <si>
    <t>49/25 &amp; 63/32</t>
  </si>
  <si>
    <t>160/81 (2025/1024)</t>
  </si>
  <si>
    <t>* John Harrison-Charles Lucy</t>
  </si>
  <si>
    <t>approach to musical tuning</t>
  </si>
  <si>
    <t>by "harmonics that beat" based</t>
  </si>
  <si>
    <t>Approximating - among</t>
  </si>
  <si>
    <t>other things - the ratios</t>
  </si>
  <si>
    <t>on the trancendental number PI.</t>
  </si>
  <si>
    <t>Here, we simply borrow the</t>
  </si>
  <si>
    <t>Three 2^(1/(2*pi)) wholetones</t>
  </si>
  <si>
    <t>Lucy-tuned fifth defined as:</t>
  </si>
  <si>
    <t>One (2/(2^(1/(2*pi)))^5)^(1/2) semitone</t>
  </si>
  <si>
    <t>a myriad of commas</t>
  </si>
  <si>
    <t>a myriad of dieses</t>
  </si>
  <si>
    <t>76:            B#!)    C\!/</t>
  </si>
  <si>
    <t>10:            Cx!)    D\!/</t>
  </si>
  <si>
    <t>56:            Gx!)    A\!/</t>
  </si>
  <si>
    <t>69:            Ax!)    B\!/</t>
  </si>
  <si>
    <t>3:              C/|\     Dbb|)</t>
  </si>
  <si>
    <t>49:            G/|\     Abb|)</t>
  </si>
  <si>
    <t>16:            D/|\     Ebb|)</t>
  </si>
  <si>
    <t>62:            A/|\     Bbb|)</t>
  </si>
  <si>
    <t>29:            E/|\     Fb|)</t>
  </si>
  <si>
    <t>75:            B/|\     Cb|)</t>
  </si>
  <si>
    <t>9:              C#/|\   Db|)</t>
  </si>
  <si>
    <t>55:            G#/|\   Ab|)</t>
  </si>
  <si>
    <t>22:            D#/|\   Eb|)</t>
  </si>
  <si>
    <t>68:            A#/|\   Bb|)</t>
  </si>
  <si>
    <t>35:            F|)      Gbb/|</t>
  </si>
  <si>
    <t>57:            Gx\!    A!)</t>
  </si>
  <si>
    <t>50:            G#!)    Ab\!/</t>
  </si>
  <si>
    <t>63:            A#!)    Bb\!/</t>
  </si>
  <si>
    <t>2:              C|)      Dbb/|</t>
  </si>
  <si>
    <t>48:            G|)      Abb/|</t>
  </si>
  <si>
    <t>15:            D|)      Ebb/|</t>
  </si>
  <si>
    <t>61:            A|)      Bbb/|</t>
  </si>
  <si>
    <t>28:            E|)      Fb/|</t>
  </si>
  <si>
    <t>74:            B|)      Cb/|</t>
  </si>
  <si>
    <t>41:            F#|)    Gb/|</t>
  </si>
  <si>
    <t>8:              C#|)    Db/|</t>
  </si>
  <si>
    <t>54:            G#|)    Ab/|</t>
  </si>
  <si>
    <t>21:            D#|)    Eb/|</t>
  </si>
  <si>
    <t>67:            A#|)    Bb/|</t>
  </si>
  <si>
    <t>34:            F/|      Gbb</t>
  </si>
  <si>
    <t>1:              C/|      Dbb</t>
  </si>
  <si>
    <t>47:            G/|      Abb</t>
  </si>
  <si>
    <t>14:            D/|      Ebb</t>
  </si>
  <si>
    <t>60:            A/|      Bbb</t>
  </si>
  <si>
    <t>27:            E/|      Fb</t>
  </si>
  <si>
    <t>73:            B/|      Cb</t>
  </si>
  <si>
    <t>40:            F#/|    Gb</t>
  </si>
  <si>
    <t>7:              C#/|    Db</t>
  </si>
  <si>
    <t>53:            G#/|    Ab</t>
  </si>
  <si>
    <t>20:            D#/|    Eb</t>
  </si>
  <si>
    <t>66:            A#/|    Bb</t>
  </si>
  <si>
    <t>33:            F</t>
  </si>
  <si>
    <t>in two packages:</t>
  </si>
  <si>
    <t>Microtonal Notation designed by</t>
  </si>
  <si>
    <t>available tunings in the world.</t>
  </si>
  <si>
    <t xml:space="preserve">George Secor &amp; Dave Keenan </t>
  </si>
  <si>
    <t xml:space="preserve">to accomodate a plethora of </t>
  </si>
  <si>
    <t>______________________</t>
  </si>
  <si>
    <t>2. Mixed (with substitute sharps/flats)</t>
  </si>
  <si>
    <t>0 (cents)</t>
  </si>
  <si>
    <t>via subtracting 5 wholetones</t>
  </si>
  <si>
    <t>from the octave and dividing</t>
  </si>
  <si>
    <t>the result by 2.</t>
  </si>
  <si>
    <r>
      <t>cent octaves</t>
    </r>
    <r>
      <rPr>
        <sz val="10"/>
        <rFont val="Arial"/>
        <family val="0"/>
      </rPr>
      <t xml:space="preserve"> </t>
    </r>
    <r>
      <rPr>
        <i/>
        <sz val="10"/>
        <rFont val="Arial"/>
        <family val="2"/>
      </rPr>
      <t>above</t>
    </r>
  </si>
  <si>
    <t>*** The Notation here is a generic</t>
  </si>
  <si>
    <t>1. Pure (arrows &amp; hooks only)</t>
  </si>
  <si>
    <t xml:space="preserve">AB </t>
  </si>
  <si>
    <t>1.00000000000000</t>
  </si>
  <si>
    <t>equal divisions of the pure</t>
  </si>
  <si>
    <t>(Derived originally from 33</t>
  </si>
  <si>
    <t>completed to the octave to</t>
  </si>
  <si>
    <t>yield a larger comma that</t>
  </si>
  <si>
    <t>is moved between steps</t>
  </si>
  <si>
    <t>Following a cyclic pattern of</t>
  </si>
  <si>
    <r>
      <t xml:space="preserve">  0: C </t>
    </r>
    <r>
      <rPr>
        <b/>
        <sz val="10"/>
        <color indexed="39"/>
        <rFont val="Arial"/>
        <family val="2"/>
      </rPr>
      <t>***</t>
    </r>
  </si>
  <si>
    <t xml:space="preserve">** Sagittal ® is an ambitious </t>
  </si>
  <si>
    <t>template for 79-tET as is integrated</t>
  </si>
  <si>
    <t>(ratio)</t>
  </si>
  <si>
    <t>81/80</t>
  </si>
  <si>
    <t>64/63</t>
  </si>
  <si>
    <t>128/125</t>
  </si>
  <si>
    <t>25/24</t>
  </si>
  <si>
    <t>256/243</t>
  </si>
  <si>
    <t>13/12</t>
  </si>
  <si>
    <t>81/70</t>
  </si>
  <si>
    <t>13/11</t>
  </si>
  <si>
    <t>81/68</t>
  </si>
  <si>
    <t>21/17</t>
  </si>
  <si>
    <t>23/18</t>
  </si>
  <si>
    <t>Sagittal Notation comes</t>
  </si>
  <si>
    <t>17/12</t>
  </si>
  <si>
    <t>16/11</t>
  </si>
  <si>
    <t>27/16</t>
  </si>
  <si>
    <t>17/10</t>
  </si>
  <si>
    <t>11/7</t>
  </si>
  <si>
    <t>13/8</t>
  </si>
  <si>
    <t>18/11</t>
  </si>
  <si>
    <t>28/17</t>
  </si>
  <si>
    <t>25/14</t>
  </si>
  <si>
    <t>20/11</t>
  </si>
  <si>
    <t>11/6</t>
  </si>
  <si>
    <t>28/15</t>
  </si>
  <si>
    <t>15/8</t>
  </si>
  <si>
    <r>
      <t>15/8</t>
    </r>
    <r>
      <rPr>
        <i/>
        <sz val="10"/>
        <rFont val="Arial"/>
        <family val="2"/>
      </rPr>
      <t xml:space="preserve"> &amp; 32/17 (17/9)</t>
    </r>
  </si>
  <si>
    <t>243/128</t>
  </si>
  <si>
    <t>27/14</t>
  </si>
  <si>
    <t>2/1</t>
  </si>
  <si>
    <t>(cents with prev.)</t>
  </si>
  <si>
    <r>
      <t xml:space="preserve">of a </t>
    </r>
    <r>
      <rPr>
        <i/>
        <sz val="10"/>
        <rFont val="Arial"/>
        <family val="2"/>
      </rPr>
      <t>Syntonic Comma</t>
    </r>
    <r>
      <rPr>
        <sz val="10"/>
        <rFont val="Arial"/>
        <family val="0"/>
      </rPr>
      <t xml:space="preserve"> of</t>
    </r>
  </si>
  <si>
    <r>
      <t xml:space="preserve">of a </t>
    </r>
    <r>
      <rPr>
        <i/>
        <sz val="10"/>
        <rFont val="Arial"/>
        <family val="2"/>
      </rPr>
      <t>Ditonic Comma</t>
    </r>
    <r>
      <rPr>
        <sz val="10"/>
        <rFont val="Arial"/>
        <family val="0"/>
      </rPr>
      <t xml:space="preserve"> of</t>
    </r>
  </si>
  <si>
    <t>sharps and flats recognized</t>
  </si>
  <si>
    <t>the 79th degree which is</t>
  </si>
  <si>
    <r>
      <t xml:space="preserve">45-46. </t>
    </r>
    <r>
      <rPr>
        <b/>
        <sz val="10"/>
        <rFont val="Arial"/>
        <family val="2"/>
      </rPr>
      <t>Resultant scale is</t>
    </r>
  </si>
  <si>
    <t>practically identical with</t>
  </si>
  <si>
    <t>We prefer the mixed</t>
  </si>
  <si>
    <t>by Western musicians.</t>
  </si>
  <si>
    <t>the reference tone (1/1)</t>
  </si>
  <si>
    <r>
      <t>Which - if notated Sagitally</t>
    </r>
    <r>
      <rPr>
        <sz val="10"/>
        <rFont val="Arial"/>
        <family val="2"/>
      </rPr>
      <t xml:space="preserve"> </t>
    </r>
    <r>
      <rPr>
        <sz val="10"/>
        <color indexed="39"/>
        <rFont val="Arial"/>
        <family val="2"/>
      </rPr>
      <t>**</t>
    </r>
  </si>
  <si>
    <t>tolerable to musically trained human ears</t>
  </si>
  <si>
    <t>Where the semitone is obtained</t>
  </si>
  <si>
    <r>
      <t xml:space="preserve">Temp. by </t>
    </r>
    <r>
      <rPr>
        <b/>
        <sz val="10"/>
        <color indexed="10"/>
        <rFont val="Arial"/>
        <family val="2"/>
      </rPr>
      <t>19/53</t>
    </r>
    <r>
      <rPr>
        <b/>
        <sz val="10"/>
        <rFont val="Arial"/>
        <family val="2"/>
      </rPr>
      <t xml:space="preserve"> syn. com.</t>
    </r>
  </si>
  <si>
    <r>
      <t xml:space="preserve">if not </t>
    </r>
    <r>
      <rPr>
        <b/>
        <sz val="10"/>
        <color indexed="10"/>
        <rFont val="Arial"/>
        <family val="2"/>
      </rPr>
      <t>79 MOS 159-tET</t>
    </r>
    <r>
      <rPr>
        <b/>
        <sz val="10"/>
        <rFont val="Arial"/>
        <family val="2"/>
      </rPr>
      <t>.</t>
    </r>
    <r>
      <rPr>
        <sz val="10"/>
        <rFont val="Arial"/>
        <family val="0"/>
      </rPr>
      <t>)</t>
    </r>
  </si>
  <si>
    <t>Representing popular fractions below within a margin of error</t>
  </si>
  <si>
    <t>frequencies happen to be</t>
  </si>
  <si>
    <t>Making a sum total of</t>
  </si>
  <si>
    <r>
      <t xml:space="preserve">of a </t>
    </r>
    <r>
      <rPr>
        <i/>
        <sz val="10"/>
        <rFont val="Arial"/>
        <family val="2"/>
      </rPr>
      <t>Septimal Comma</t>
    </r>
    <r>
      <rPr>
        <sz val="10"/>
        <rFont val="Arial"/>
        <family val="0"/>
      </rPr>
      <t xml:space="preserve"> of</t>
    </r>
  </si>
  <si>
    <t>version comprising the</t>
  </si>
  <si>
    <t>into SCALA, an ingenious software</t>
  </si>
  <si>
    <t>programmed by Manuel op de Coul.</t>
  </si>
  <si>
    <t xml:space="preserve">  cents, when narrowed by</t>
  </si>
  <si>
    <r>
      <t xml:space="preserve">  cents, if </t>
    </r>
    <r>
      <rPr>
        <i/>
        <sz val="10"/>
        <rFont val="Arial"/>
        <family val="2"/>
      </rPr>
      <t xml:space="preserve">Lucy-tuned </t>
    </r>
    <r>
      <rPr>
        <i/>
        <sz val="10"/>
        <color indexed="39"/>
        <rFont val="Arial"/>
        <family val="2"/>
      </rPr>
      <t>*</t>
    </r>
  </si>
  <si>
    <t xml:space="preserve">  cents</t>
  </si>
  <si>
    <t>This interesting tuning I implemented on my custom-built Qanun flaunts 79 tones generated by</t>
  </si>
  <si>
    <t>Whereby the relative</t>
  </si>
  <si>
    <t>pitches already mentioned</t>
  </si>
  <si>
    <r>
      <t>cent 5ths</t>
    </r>
    <r>
      <rPr>
        <sz val="10"/>
        <rFont val="Arial"/>
        <family val="0"/>
      </rPr>
      <t xml:space="preserve"> (</t>
    </r>
    <r>
      <rPr>
        <b/>
        <sz val="10"/>
        <rFont val="Arial"/>
        <family val="2"/>
      </rPr>
      <t>A</t>
    </r>
    <r>
      <rPr>
        <sz val="10"/>
        <rFont val="Arial"/>
        <family val="0"/>
      </rPr>
      <t>) that add up to</t>
    </r>
  </si>
  <si>
    <r>
      <t>cent 5ths</t>
    </r>
    <r>
      <rPr>
        <sz val="10"/>
        <rFont val="Arial"/>
        <family val="0"/>
      </rPr>
      <t xml:space="preserve"> (</t>
    </r>
    <r>
      <rPr>
        <b/>
        <sz val="10"/>
        <rFont val="Arial"/>
        <family val="2"/>
      </rPr>
      <t>B</t>
    </r>
    <r>
      <rPr>
        <sz val="10"/>
        <rFont val="Arial"/>
        <family val="0"/>
      </rPr>
      <t>) that add up to</t>
    </r>
  </si>
  <si>
    <t>Where tempered fifths are:</t>
  </si>
  <si>
    <t>For notes</t>
  </si>
  <si>
    <t>intervals arrayed</t>
  </si>
  <si>
    <t>Equalling in cents the</t>
  </si>
  <si>
    <t>Acquired vis-a-vis</t>
  </si>
  <si>
    <t>consecutively</t>
  </si>
  <si>
    <t xml:space="preserve">  0: C4</t>
  </si>
  <si>
    <t xml:space="preserve"> 13: D4</t>
  </si>
  <si>
    <t xml:space="preserve"> 26: E4</t>
  </si>
  <si>
    <t xml:space="preserve"> 33: F4</t>
  </si>
  <si>
    <t xml:space="preserve"> 46: G4</t>
  </si>
  <si>
    <t xml:space="preserve"> 72: B4</t>
  </si>
  <si>
    <t xml:space="preserve"> 79: C5</t>
  </si>
  <si>
    <r>
      <t xml:space="preserve"> 59:</t>
    </r>
    <r>
      <rPr>
        <b/>
        <sz val="10"/>
        <color indexed="10"/>
        <rFont val="Arial"/>
        <family val="2"/>
      </rPr>
      <t xml:space="preserve"> A4</t>
    </r>
  </si>
  <si>
    <t>If the diapason in Hertz is</t>
  </si>
  <si>
    <t>New diapason in Hertz is</t>
  </si>
  <si>
    <t>simply use the equation:</t>
  </si>
  <si>
    <t>whilst preserving modified beat frequencies,</t>
  </si>
  <si>
    <t>`F` is the desired frequency in Hertz,</t>
  </si>
  <si>
    <t>And `b` is the amount of beats per second.</t>
  </si>
  <si>
    <t>To fix the new diapason at a whole number</t>
  </si>
  <si>
    <t>*</t>
  </si>
  <si>
    <t xml:space="preserve"> 80: C/|     Dbb</t>
  </si>
  <si>
    <t xml:space="preserve"> 81: C|)     Dbb/|</t>
  </si>
  <si>
    <t xml:space="preserve"> 82: C/|\    Dbb|)</t>
  </si>
  <si>
    <t xml:space="preserve"> 83: C#!)    Db\!/</t>
  </si>
  <si>
    <t xml:space="preserve"> 84: C#\!    Db!)</t>
  </si>
  <si>
    <t xml:space="preserve"> 85: C#      Db\!</t>
  </si>
  <si>
    <t xml:space="preserve"> 86: C#/|    Db</t>
  </si>
  <si>
    <t xml:space="preserve"> 87: C#|)    Db/|</t>
  </si>
  <si>
    <t xml:space="preserve"> 88: C#/|\   Db|)</t>
  </si>
  <si>
    <t xml:space="preserve"> 89: Cx!)    D\!/</t>
  </si>
  <si>
    <t xml:space="preserve"> 90: Cx\!    D!)</t>
  </si>
  <si>
    <t xml:space="preserve"> 91: Cx      D\!</t>
  </si>
  <si>
    <t xml:space="preserve"> 92: D5</t>
  </si>
  <si>
    <t xml:space="preserve"> 93: D/|     Ebb</t>
  </si>
  <si>
    <t xml:space="preserve"> 94: D|)     Ebb/|</t>
  </si>
  <si>
    <t xml:space="preserve"> 95: D/|\    Ebb|)</t>
  </si>
  <si>
    <t xml:space="preserve"> 96: D#!)    Eb\!/</t>
  </si>
  <si>
    <t xml:space="preserve"> 97: D#\!    Eb!)</t>
  </si>
  <si>
    <t xml:space="preserve"> 98: D#      Eb\!</t>
  </si>
  <si>
    <t>100: D#|)    Eb/|</t>
  </si>
  <si>
    <t>101: D#/|\   Eb|)</t>
  </si>
  <si>
    <t>102: Dx!)    E\!/</t>
  </si>
  <si>
    <t>103: Dx\!    E!)</t>
  </si>
  <si>
    <t>104: Dx      E\!</t>
  </si>
  <si>
    <t>105: E5</t>
  </si>
  <si>
    <t>106: E/|     Fb</t>
  </si>
  <si>
    <t>107: E|)     Fb/|</t>
  </si>
  <si>
    <t>108: E/|\    Fb|)</t>
  </si>
  <si>
    <t>109: E#!)    F\!/</t>
  </si>
  <si>
    <t>110: E#\!    F!)</t>
  </si>
  <si>
    <t>111: E#      F\!</t>
  </si>
  <si>
    <t>112: F5</t>
  </si>
  <si>
    <t>120: F#|)   Gb/|</t>
  </si>
  <si>
    <t>119: F#/|   Gb</t>
  </si>
  <si>
    <t>118: F#     Gb\!</t>
  </si>
  <si>
    <t>117: F#\!   Gb!)</t>
  </si>
  <si>
    <t>116: F#!)   Gb\!/</t>
  </si>
  <si>
    <t>115: F/|\   Gbb|)</t>
  </si>
  <si>
    <t>114: F|)    Gbb/|</t>
  </si>
  <si>
    <t>113: F/|    Gbb</t>
  </si>
  <si>
    <t>121: F#/|\  Gb|)</t>
  </si>
  <si>
    <t>122: Fx!)   G\!/</t>
  </si>
  <si>
    <t>123: Fx\!   G!)</t>
  </si>
  <si>
    <t>124: Fx     G\!</t>
  </si>
  <si>
    <t>125: G5</t>
  </si>
  <si>
    <t>126: G/|    Abb</t>
  </si>
  <si>
    <t>127: G|)    Abb/|</t>
  </si>
  <si>
    <t>129: G#!)   Ab\!/</t>
  </si>
  <si>
    <t>128: G/|\   Abb|)</t>
  </si>
  <si>
    <t>131: G#     Ab\!</t>
  </si>
  <si>
    <t>130: G#\!   Ab!)</t>
  </si>
  <si>
    <t>132: G#/|   Ab</t>
  </si>
  <si>
    <t>133: G#|)   Ab/|</t>
  </si>
  <si>
    <t>134: G#/|\  Ab|)</t>
  </si>
  <si>
    <t>135: Gx!)   A\!/</t>
  </si>
  <si>
    <t>136: Gx\!   A!)</t>
  </si>
  <si>
    <t>137: Gx     A\!</t>
  </si>
  <si>
    <t>138: A5</t>
  </si>
  <si>
    <t>139: A/|    Bbb</t>
  </si>
  <si>
    <t>140: A|)    Bbb/|</t>
  </si>
  <si>
    <t>141: A/|\   Bbb|)</t>
  </si>
  <si>
    <t>142: A#!)  Bb\!/</t>
  </si>
  <si>
    <t>143: A#\!  Bb!)</t>
  </si>
  <si>
    <t>144: A#    Bb\!</t>
  </si>
  <si>
    <t>147: A#/|\  Bb|)</t>
  </si>
  <si>
    <t>146: A#|)   Bb/|</t>
  </si>
  <si>
    <t>145: A#/|   Bb</t>
  </si>
  <si>
    <t>148: Ax!)   B\!/</t>
  </si>
  <si>
    <t>149: Ax\!   B!)</t>
  </si>
  <si>
    <t>150: Ax     B\!</t>
  </si>
  <si>
    <t>151: B5</t>
  </si>
  <si>
    <t>152: B/|     Cb</t>
  </si>
  <si>
    <t>153: B|)     Cb/|</t>
  </si>
  <si>
    <t>154: B/|\    Cb|)</t>
  </si>
  <si>
    <t>155: B#!)    C\!/</t>
  </si>
  <si>
    <t>156: B#\!    C!)</t>
  </si>
  <si>
    <t>157: B#      C\!</t>
  </si>
  <si>
    <t>158: C6</t>
  </si>
  <si>
    <t xml:space="preserve"> 99: D#/|     Eb</t>
  </si>
  <si>
    <t>X= (3F-b) / 2</t>
  </si>
  <si>
    <t>Where `X` is the interval of a fifth</t>
  </si>
  <si>
    <t>based on the degree of the new diapason,</t>
  </si>
  <si>
    <t>The relative frequency of the original</t>
  </si>
  <si>
    <t>the frequency of step 105 to that of 59:</t>
  </si>
  <si>
    <t>interval of a fifth is calculated via dividing</t>
  </si>
  <si>
    <t>The desired diapason is thence obtained by</t>
  </si>
  <si>
    <t>dividing X by this number.</t>
  </si>
  <si>
    <t>For the new diapason to take effect.</t>
  </si>
  <si>
    <t>Enter the result in the first diapason cell</t>
  </si>
  <si>
    <t>If relative frequencies</t>
  </si>
  <si>
    <t>are modified thus:</t>
  </si>
  <si>
    <t>According to pitches</t>
  </si>
  <si>
    <t>fourth (4:3) carried over to</t>
  </si>
  <si>
    <r>
      <t xml:space="preserve">For note </t>
    </r>
    <r>
      <rPr>
        <b/>
        <u val="single"/>
        <sz val="10"/>
        <color indexed="10"/>
        <rFont val="Arial"/>
        <family val="2"/>
      </rPr>
      <t>A4</t>
    </r>
  </si>
  <si>
    <t xml:space="preserve">If the new diapason is chosen </t>
  </si>
  <si>
    <t>So that the new diapason</t>
  </si>
  <si>
    <t>becomes 440 Hz.</t>
  </si>
  <si>
    <t xml:space="preserve">to be 440 Hz, copy-paste the </t>
  </si>
  <si>
    <t>Beat frequencies for</t>
  </si>
  <si>
    <r>
      <t>5ths</t>
    </r>
    <r>
      <rPr>
        <u val="single"/>
        <sz val="10"/>
        <rFont val="Arial"/>
        <family val="0"/>
      </rPr>
      <t xml:space="preserve"> are as follows</t>
    </r>
  </si>
  <si>
    <t>New beat frequencies</t>
  </si>
  <si>
    <r>
      <t xml:space="preserve">of </t>
    </r>
    <r>
      <rPr>
        <b/>
        <u val="single"/>
        <sz val="10"/>
        <rFont val="Arial"/>
        <family val="2"/>
      </rPr>
      <t>5ths</t>
    </r>
    <r>
      <rPr>
        <u val="single"/>
        <sz val="10"/>
        <rFont val="Arial"/>
        <family val="0"/>
      </rPr>
      <t xml:space="preserve"> become</t>
    </r>
  </si>
  <si>
    <t>EXAMPLE</t>
  </si>
  <si>
    <t>number below to cell A4:</t>
  </si>
  <si>
    <t>A2</t>
  </si>
  <si>
    <t>B2</t>
  </si>
  <si>
    <t>C3</t>
  </si>
  <si>
    <t>D3</t>
  </si>
  <si>
    <t>F3</t>
  </si>
  <si>
    <t>E3</t>
  </si>
  <si>
    <t>G3</t>
  </si>
  <si>
    <t>A3</t>
  </si>
  <si>
    <t>B3</t>
  </si>
  <si>
    <t>C4</t>
  </si>
  <si>
    <r>
      <t xml:space="preserve">Their </t>
    </r>
    <r>
      <rPr>
        <b/>
        <sz val="10"/>
        <color indexed="15"/>
        <rFont val="Arial"/>
        <family val="2"/>
      </rPr>
      <t>pitch/octave</t>
    </r>
    <r>
      <rPr>
        <sz val="10"/>
        <rFont val="Arial"/>
        <family val="0"/>
      </rPr>
      <t xml:space="preserve"> nominations are given above each column.</t>
    </r>
  </si>
  <si>
    <t>Hertz to Cents Conversion</t>
  </si>
  <si>
    <r>
      <t>Bold</t>
    </r>
    <r>
      <rPr>
        <sz val="10"/>
        <rFont val="Arial"/>
        <family val="0"/>
      </rPr>
      <t xml:space="preserve"> values represent diatonical naturals in cents.</t>
    </r>
  </si>
  <si>
    <t>Our 79-tone model is about the limit for Qanun construction by today's standards.</t>
  </si>
  <si>
    <t>The recipe for affixing mandals according to the 79-tone tuning is provided here.</t>
  </si>
  <si>
    <t>Minute calibrations can be made after the mandals are set in place.</t>
  </si>
  <si>
    <t>® 2006</t>
  </si>
  <si>
    <t>intervals as such</t>
  </si>
  <si>
    <t>tolerated by musically trained human ears</t>
  </si>
  <si>
    <t>Popular fractions are still represented within a margin of error</t>
  </si>
  <si>
    <t>Of consecutive</t>
  </si>
  <si>
    <t>Mind enharmonical equivalances! Also listen to perfect fifth beat rates as they occur.</t>
  </si>
  <si>
    <t>D4</t>
  </si>
  <si>
    <t>E4</t>
  </si>
  <si>
    <t>i.e. sharps equal flats, sharps equal naturals, etc…</t>
  </si>
  <si>
    <t>F4</t>
  </si>
  <si>
    <t>G4</t>
  </si>
  <si>
    <t>A4</t>
  </si>
  <si>
    <t xml:space="preserve">Reference tone (1/1) is C4, </t>
  </si>
  <si>
    <t>where the frequency of A4 in Hertz is</t>
  </si>
  <si>
    <t>New beat frequencies for</t>
  </si>
  <si>
    <t>Cycle of Perfect 5ths</t>
  </si>
  <si>
    <t>Cycle of Harmonic Major 3rds</t>
  </si>
  <si>
    <t>Cycle of Pyth. Major 3rds</t>
  </si>
  <si>
    <t>Cycle of Pyth. minor 3rds</t>
  </si>
  <si>
    <t>Cycle of Harmonic minor 3rds</t>
  </si>
  <si>
    <t>Cycle of Harmonic 7ths</t>
  </si>
  <si>
    <t>Cycle of Super-pyth. 5ths</t>
  </si>
  <si>
    <t>Super-pythagorean fifths are</t>
  </si>
  <si>
    <t>Harmonic Major Thirds are</t>
  </si>
  <si>
    <t>Pythagorean Major Thirds are</t>
  </si>
  <si>
    <t>Harmonic minor thirds are</t>
  </si>
  <si>
    <t>Pythagorean minor thirds are</t>
  </si>
  <si>
    <t>Harmonic Sevenths are</t>
  </si>
  <si>
    <t>(assuming 80 tones)</t>
  </si>
  <si>
    <t>B4</t>
  </si>
  <si>
    <t>C5</t>
  </si>
  <si>
    <t>D5</t>
  </si>
  <si>
    <t>E5</t>
  </si>
  <si>
    <r>
      <t xml:space="preserve">cents, </t>
    </r>
    <r>
      <rPr>
        <i/>
        <sz val="10"/>
        <rFont val="Arial"/>
        <family val="2"/>
      </rPr>
      <t>which is</t>
    </r>
    <r>
      <rPr>
        <sz val="10"/>
        <rFont val="Arial"/>
        <family val="2"/>
      </rPr>
      <t xml:space="preserve"> </t>
    </r>
    <r>
      <rPr>
        <b/>
        <sz val="10"/>
        <rFont val="Arial"/>
        <family val="2"/>
      </rPr>
      <t>precisely 46</t>
    </r>
  </si>
  <si>
    <t>cents</t>
  </si>
  <si>
    <r>
      <t xml:space="preserve">cents…. </t>
    </r>
    <r>
      <rPr>
        <sz val="10"/>
        <rFont val="Arial"/>
        <family val="2"/>
      </rPr>
      <t xml:space="preserve"> PLUS</t>
    </r>
  </si>
  <si>
    <t>F5</t>
  </si>
  <si>
    <t>X</t>
  </si>
  <si>
    <t>G5</t>
  </si>
  <si>
    <t>A5</t>
  </si>
  <si>
    <t>F5 thru A5 mandal</t>
  </si>
  <si>
    <t>natural positions</t>
  </si>
  <si>
    <t>B5</t>
  </si>
  <si>
    <t>configurations are:</t>
  </si>
  <si>
    <t>expressed in bold</t>
  </si>
  <si>
    <t>values.</t>
  </si>
  <si>
    <t>Areas in color</t>
  </si>
  <si>
    <t>divisions of the</t>
  </si>
  <si>
    <t>C6</t>
  </si>
  <si>
    <t>D6</t>
  </si>
  <si>
    <r>
      <t>79-tone mandals are ordinarily fixed at</t>
    </r>
    <r>
      <rPr>
        <b/>
        <sz val="10"/>
        <rFont val="Arial"/>
        <family val="2"/>
      </rPr>
      <t xml:space="preserve"> -7, 0, +8, +4</t>
    </r>
    <r>
      <rPr>
        <sz val="10"/>
        <rFont val="Arial"/>
        <family val="0"/>
      </rPr>
      <t>, where 0 indicates natural pitches.</t>
    </r>
  </si>
  <si>
    <t>-6,  0, +7, +3,</t>
  </si>
  <si>
    <t>comprise equal</t>
  </si>
  <si>
    <t>where 0 stands for</t>
  </si>
  <si>
    <t>both ends.</t>
  </si>
  <si>
    <t>interval between</t>
  </si>
  <si>
    <t>two pitches at</t>
  </si>
  <si>
    <r>
      <t xml:space="preserve">Mandal values in </t>
    </r>
    <r>
      <rPr>
        <sz val="10"/>
        <color indexed="48"/>
        <rFont val="Arial"/>
        <family val="2"/>
      </rPr>
      <t>blue</t>
    </r>
    <r>
      <rPr>
        <sz val="10"/>
        <rFont val="Arial"/>
        <family val="0"/>
      </rPr>
      <t xml:space="preserve"> signify sharps in cents.</t>
    </r>
  </si>
  <si>
    <r>
      <t xml:space="preserve">Mandal values in </t>
    </r>
    <r>
      <rPr>
        <sz val="10"/>
        <color indexed="10"/>
        <rFont val="Arial"/>
        <family val="2"/>
      </rPr>
      <t>red</t>
    </r>
    <r>
      <rPr>
        <sz val="10"/>
        <rFont val="Arial"/>
        <family val="0"/>
      </rPr>
      <t xml:space="preserve"> signify double sharps in cents.</t>
    </r>
  </si>
  <si>
    <t>E6</t>
  </si>
  <si>
    <t xml:space="preserve">             B5 thru D6 mandal</t>
  </si>
  <si>
    <t xml:space="preserve">             configurations are:</t>
  </si>
  <si>
    <t xml:space="preserve">                -5,  0, +6, +2,</t>
  </si>
  <si>
    <t xml:space="preserve">             where 0 stands for</t>
  </si>
  <si>
    <t xml:space="preserve">             natural positions</t>
  </si>
  <si>
    <t xml:space="preserve">             expressed in bold</t>
  </si>
  <si>
    <t xml:space="preserve">             values.</t>
  </si>
  <si>
    <t xml:space="preserve">             Areas in color</t>
  </si>
  <si>
    <t xml:space="preserve">             comprise equal</t>
  </si>
  <si>
    <t xml:space="preserve">             divisions of the</t>
  </si>
  <si>
    <t xml:space="preserve">             interval between</t>
  </si>
  <si>
    <t xml:space="preserve">             two pitches at</t>
  </si>
  <si>
    <t xml:space="preserve">             both ends.</t>
  </si>
  <si>
    <t>-4, 0, +5, +1,</t>
  </si>
  <si>
    <t>expressed in bold value.</t>
  </si>
  <si>
    <t>where 0 stands for the natural position</t>
  </si>
  <si>
    <t>E6 mandal configuration is:</t>
  </si>
  <si>
    <r>
      <t>Mandals</t>
    </r>
    <r>
      <rPr>
        <sz val="10"/>
        <rFont val="Arial"/>
        <family val="0"/>
      </rPr>
      <t xml:space="preserve"> of a Qanun are </t>
    </r>
    <r>
      <rPr>
        <u val="single"/>
        <sz val="10"/>
        <rFont val="Arial"/>
        <family val="2"/>
      </rPr>
      <t>little metallic levers</t>
    </r>
    <r>
      <rPr>
        <sz val="10"/>
        <rFont val="Arial"/>
        <family val="0"/>
      </rPr>
      <t xml:space="preserve"> that change string lenghts.</t>
    </r>
  </si>
  <si>
    <r>
      <t xml:space="preserve">These levers act as </t>
    </r>
    <r>
      <rPr>
        <b/>
        <sz val="10"/>
        <rFont val="Arial"/>
        <family val="2"/>
      </rPr>
      <t>frets</t>
    </r>
    <r>
      <rPr>
        <sz val="10"/>
        <rFont val="Arial"/>
        <family val="0"/>
      </rPr>
      <t xml:space="preserve"> for a pre-determined tuning.</t>
    </r>
  </si>
  <si>
    <t>Due to lack of physical space, quantity of mandals per tricordi lessen after E5.</t>
  </si>
  <si>
    <t xml:space="preserve">Once the locations for naturals are ascertained it is time for equal divisions. </t>
  </si>
  <si>
    <t>\</t>
  </si>
  <si>
    <t>/</t>
  </si>
  <si>
    <t>Table of mandals according to cent values starting from C4</t>
  </si>
  <si>
    <t>Table of mandals according to frequencies based on the diapason</t>
  </si>
  <si>
    <t>Table of mandals according to relative frequencies from C4</t>
  </si>
  <si>
    <t>And reduced to and sorted within the given</t>
  </si>
  <si>
    <t xml:space="preserve">               PLUS</t>
  </si>
  <si>
    <r>
      <t xml:space="preserve">Identical values in adjacent columns denote </t>
    </r>
    <r>
      <rPr>
        <u val="single"/>
        <sz val="10"/>
        <rFont val="Arial"/>
        <family val="2"/>
      </rPr>
      <t>enharmonical pitches</t>
    </r>
    <r>
      <rPr>
        <sz val="10"/>
        <rFont val="Arial"/>
        <family val="0"/>
      </rPr>
      <t>.</t>
    </r>
  </si>
  <si>
    <t>(error)</t>
  </si>
  <si>
    <t>formal octave - yields the following scale</t>
  </si>
  <si>
    <t>Table of mandals according to consecutive intervals from natural pitches</t>
  </si>
  <si>
    <t>Mellow Major Thirds are</t>
  </si>
  <si>
    <t>Cycle of Mellow Major 3rds</t>
  </si>
  <si>
    <t>Mellow minor thirds are</t>
  </si>
  <si>
    <t>Cycle of Mellow minor 3rds</t>
  </si>
  <si>
    <r>
      <t xml:space="preserve">For perde </t>
    </r>
    <r>
      <rPr>
        <b/>
        <u val="single"/>
        <sz val="10"/>
        <color indexed="10"/>
        <rFont val="Arial"/>
        <family val="2"/>
      </rPr>
      <t>Huseyni</t>
    </r>
  </si>
  <si>
    <t xml:space="preserve">  0: RAST</t>
  </si>
  <si>
    <t xml:space="preserve"> 26: SEGAH</t>
  </si>
  <si>
    <t xml:space="preserve"> 46: NEVA</t>
  </si>
  <si>
    <t xml:space="preserve"> 79: GERDANIYE</t>
  </si>
  <si>
    <t xml:space="preserve"> 10: </t>
  </si>
  <si>
    <t xml:space="preserve">  9: </t>
  </si>
  <si>
    <t xml:space="preserve">  8: </t>
  </si>
  <si>
    <t xml:space="preserve">  4:</t>
  </si>
  <si>
    <t xml:space="preserve">  3: </t>
  </si>
  <si>
    <t xml:space="preserve">  2: </t>
  </si>
  <si>
    <t xml:space="preserve">  1: </t>
  </si>
  <si>
    <t xml:space="preserve"> 15: </t>
  </si>
  <si>
    <t xml:space="preserve"> 16: </t>
  </si>
  <si>
    <t xml:space="preserve"> 27: Buselik</t>
  </si>
  <si>
    <t xml:space="preserve"> 30: </t>
  </si>
  <si>
    <t xml:space="preserve"> 32: </t>
  </si>
  <si>
    <t xml:space="preserve"> 36:</t>
  </si>
  <si>
    <t xml:space="preserve"> 37:</t>
  </si>
  <si>
    <t xml:space="preserve"> 42:</t>
  </si>
  <si>
    <t xml:space="preserve"> 43: </t>
  </si>
  <si>
    <t xml:space="preserve"> 44: </t>
  </si>
  <si>
    <t xml:space="preserve"> 49: </t>
  </si>
  <si>
    <t xml:space="preserve"> 50: </t>
  </si>
  <si>
    <t xml:space="preserve"> 54: </t>
  </si>
  <si>
    <t xml:space="preserve"> 55: </t>
  </si>
  <si>
    <t xml:space="preserve"> 56: </t>
  </si>
  <si>
    <t xml:space="preserve"> 62: </t>
  </si>
  <si>
    <t xml:space="preserve"> 63: </t>
  </si>
  <si>
    <t xml:space="preserve"> 68: </t>
  </si>
  <si>
    <t xml:space="preserve"> 69: </t>
  </si>
  <si>
    <t xml:space="preserve"> 70: </t>
  </si>
  <si>
    <t xml:space="preserve"> 73: Mahur</t>
  </si>
  <si>
    <t xml:space="preserve"> 74: Mahurek</t>
  </si>
  <si>
    <t xml:space="preserve"> 75: </t>
  </si>
  <si>
    <t xml:space="preserve"> 76: </t>
  </si>
  <si>
    <t xml:space="preserve"> 78: </t>
  </si>
  <si>
    <t>After modification</t>
  </si>
  <si>
    <t>What do you want</t>
  </si>
  <si>
    <t>the frequencies to be?</t>
  </si>
  <si>
    <t>5th beat rates:</t>
  </si>
  <si>
    <t>Copy/paste these</t>
  </si>
  <si>
    <r>
      <t xml:space="preserve">in </t>
    </r>
    <r>
      <rPr>
        <i/>
        <u val="single"/>
        <sz val="10"/>
        <rFont val="Arial"/>
        <family val="2"/>
      </rPr>
      <t>Sipurde Ahenk</t>
    </r>
  </si>
  <si>
    <t>28/27</t>
  </si>
  <si>
    <t>35/27</t>
  </si>
  <si>
    <t>19/14</t>
  </si>
  <si>
    <t>31/25</t>
  </si>
  <si>
    <t>26/19</t>
  </si>
  <si>
    <t>7/5</t>
  </si>
  <si>
    <t>25/18</t>
  </si>
  <si>
    <t>23/16</t>
  </si>
  <si>
    <t>22/15</t>
  </si>
  <si>
    <t>37/25</t>
  </si>
  <si>
    <t>29/19</t>
  </si>
  <si>
    <t>20/13</t>
  </si>
  <si>
    <t>19/12</t>
  </si>
  <si>
    <t>37/23</t>
  </si>
  <si>
    <t>12/7</t>
  </si>
  <si>
    <t>50/29</t>
  </si>
  <si>
    <t>40/23</t>
  </si>
  <si>
    <t>7/4</t>
  </si>
  <si>
    <t>37/20</t>
  </si>
  <si>
    <t>21/11</t>
  </si>
  <si>
    <t>37/19</t>
  </si>
  <si>
    <t>49/25</t>
  </si>
  <si>
    <t>105/53</t>
  </si>
  <si>
    <t xml:space="preserve"> 11: </t>
  </si>
  <si>
    <t xml:space="preserve">  6: Nim Zengule</t>
  </si>
  <si>
    <t xml:space="preserve"> 12: Zengule</t>
  </si>
  <si>
    <t xml:space="preserve"> 13: DÜGAH</t>
  </si>
  <si>
    <t xml:space="preserve"> 17:</t>
  </si>
  <si>
    <t xml:space="preserve"> 21: Nihavend</t>
  </si>
  <si>
    <t xml:space="preserve"> 14: Dik Dügah</t>
  </si>
  <si>
    <t xml:space="preserve"> 57: Hüzzam</t>
  </si>
  <si>
    <t xml:space="preserve"> 58: Hisar</t>
  </si>
  <si>
    <r>
      <t xml:space="preserve"> 59:</t>
    </r>
    <r>
      <rPr>
        <b/>
        <sz val="10"/>
        <color indexed="10"/>
        <rFont val="Arial"/>
        <family val="2"/>
      </rPr>
      <t xml:space="preserve"> HÜSEYNI</t>
    </r>
  </si>
  <si>
    <t xml:space="preserve"> 60: Dik Hüseyni</t>
  </si>
  <si>
    <t xml:space="preserve">  5: Şuri</t>
  </si>
  <si>
    <t xml:space="preserve">  7: Dik Nim Zengule</t>
  </si>
  <si>
    <t xml:space="preserve"> 20: Kürdi</t>
  </si>
  <si>
    <t xml:space="preserve"> 18:</t>
  </si>
  <si>
    <t xml:space="preserve"> 22: Hicazi Segah</t>
  </si>
  <si>
    <t xml:space="preserve"> 23: Uşşaki Segah</t>
  </si>
  <si>
    <t xml:space="preserve"> 24: Saba Segahı</t>
  </si>
  <si>
    <t xml:space="preserve"> 25: Segahçe</t>
  </si>
  <si>
    <t xml:space="preserve"> 28: Nişabur</t>
  </si>
  <si>
    <t xml:space="preserve"> 29:</t>
  </si>
  <si>
    <t xml:space="preserve"> 31: Dik Buselik</t>
  </si>
  <si>
    <t xml:space="preserve"> 33: ÇARGAH</t>
  </si>
  <si>
    <t xml:space="preserve"> 34: Dik Çargah</t>
  </si>
  <si>
    <t xml:space="preserve"> 35:</t>
  </si>
  <si>
    <t xml:space="preserve"> 38: Nerm Hicaz</t>
  </si>
  <si>
    <t xml:space="preserve"> 39: Hicaz</t>
  </si>
  <si>
    <t xml:space="preserve"> 40: Uzzal</t>
  </si>
  <si>
    <t xml:space="preserve"> 41: Saba</t>
  </si>
  <si>
    <t xml:space="preserve"> 48:</t>
  </si>
  <si>
    <t xml:space="preserve"> 45: Bestenigar</t>
  </si>
  <si>
    <t xml:space="preserve"> 47:</t>
  </si>
  <si>
    <t xml:space="preserve"> 51: Bayati</t>
  </si>
  <si>
    <t xml:space="preserve"> 52: Nim Hisar</t>
  </si>
  <si>
    <t xml:space="preserve"> 53: Dik Nim Hisar</t>
  </si>
  <si>
    <t xml:space="preserve"> 61:</t>
  </si>
  <si>
    <t xml:space="preserve"> 65: Nevruz</t>
  </si>
  <si>
    <t xml:space="preserve"> 64:</t>
  </si>
  <si>
    <t xml:space="preserve"> 66: Acem</t>
  </si>
  <si>
    <t xml:space="preserve"> 67: Dik Acem</t>
  </si>
  <si>
    <t xml:space="preserve"> 71: Nerm Evç</t>
  </si>
  <si>
    <t xml:space="preserve"> 72: EVÇ</t>
  </si>
  <si>
    <t xml:space="preserve"> 77: Dik Mahur</t>
  </si>
  <si>
    <t xml:space="preserve"> 19: Tetimme-i Segah</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</si>
</sst>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409]h:mm:ss\ AM/PM"/>
    <numFmt numFmtId="174" formatCode="00000"/>
    <numFmt numFmtId="175" formatCode="0.0000000000"/>
    <numFmt numFmtId="176" formatCode="0.000000000000000"/>
    <numFmt numFmtId="177" formatCode="0.0000000000000"/>
    <numFmt numFmtId="178" formatCode="0.00000000000"/>
    <numFmt numFmtId="179" formatCode="0.00000000"/>
    <numFmt numFmtId="180" formatCode="#&quot; &quot;??/100"/>
    <numFmt numFmtId="181" formatCode="0.0000000000000E+00"/>
    <numFmt numFmtId="182" formatCode="0.0000000000000000"/>
    <numFmt numFmtId="183" formatCode="0.00000000000000"/>
    <numFmt numFmtId="184" formatCode="0.000000000"/>
    <numFmt numFmtId="185" formatCode="0.000000000000"/>
    <numFmt numFmtId="186" formatCode="0.000000"/>
    <numFmt numFmtId="187" formatCode="0.00000"/>
    <numFmt numFmtId="188" formatCode="0.000"/>
    <numFmt numFmtId="189" formatCode="\+0.000"/>
    <numFmt numFmtId="190" formatCode="0.0000"/>
    <numFmt numFmtId="191" formatCode="0.0"/>
  </numFmts>
  <fonts count="46">
    <font>
      <sz val="10"/>
      <name val="Arial"/>
      <family val="0"/>
    </font>
    <font>
      <b/>
      <sz val="10"/>
      <name val="Arial"/>
      <family val="2"/>
    </font>
    <font>
      <u val="single"/>
      <sz val="10"/>
      <name val="Arial"/>
      <family val="2"/>
    </font>
    <font>
      <i/>
      <sz val="10"/>
      <name val="Arial"/>
      <family val="2"/>
    </font>
    <font>
      <sz val="8"/>
      <name val="Arial"/>
      <family val="0"/>
    </font>
    <font>
      <b/>
      <i/>
      <sz val="10"/>
      <name val="Arial"/>
      <family val="2"/>
    </font>
    <font>
      <i/>
      <u val="single"/>
      <sz val="10"/>
      <name val="Arial"/>
      <family val="2"/>
    </font>
    <font>
      <i/>
      <sz val="10"/>
      <color indexed="39"/>
      <name val="Arial"/>
      <family val="2"/>
    </font>
    <font>
      <sz val="10"/>
      <color indexed="39"/>
      <name val="Arial"/>
      <family val="2"/>
    </font>
    <font>
      <b/>
      <sz val="10"/>
      <color indexed="39"/>
      <name val="Arial"/>
      <family val="2"/>
    </font>
    <font>
      <b/>
      <sz val="10"/>
      <color indexed="10"/>
      <name val="Arial"/>
      <family val="2"/>
    </font>
    <font>
      <sz val="10"/>
      <name val="Tahoma"/>
      <family val="0"/>
    </font>
    <font>
      <b/>
      <sz val="10"/>
      <name val="Tahoma"/>
      <family val="0"/>
    </font>
    <font>
      <i/>
      <sz val="10"/>
      <name val="Tahoma"/>
      <family val="2"/>
    </font>
    <font>
      <i/>
      <sz val="10"/>
      <color indexed="12"/>
      <name val="Arial"/>
      <family val="2"/>
    </font>
    <font>
      <sz val="10"/>
      <color indexed="12"/>
      <name val="Arial"/>
      <family val="2"/>
    </font>
    <font>
      <b/>
      <u val="single"/>
      <sz val="10"/>
      <color indexed="10"/>
      <name val="Arial"/>
      <family val="2"/>
    </font>
    <font>
      <b/>
      <u val="single"/>
      <sz val="10"/>
      <name val="Arial"/>
      <family val="2"/>
    </font>
    <font>
      <i/>
      <sz val="10"/>
      <color indexed="10"/>
      <name val="Arial"/>
      <family val="2"/>
    </font>
    <font>
      <i/>
      <sz val="10"/>
      <color indexed="48"/>
      <name val="Arial"/>
      <family val="2"/>
    </font>
    <font>
      <b/>
      <sz val="10"/>
      <color indexed="40"/>
      <name val="Arial"/>
      <family val="2"/>
    </font>
    <font>
      <sz val="10"/>
      <color indexed="48"/>
      <name val="Arial"/>
      <family val="2"/>
    </font>
    <font>
      <sz val="10"/>
      <color indexed="10"/>
      <name val="Arial"/>
      <family val="2"/>
    </font>
    <font>
      <b/>
      <sz val="10"/>
      <color indexed="15"/>
      <name val="Arial"/>
      <family val="2"/>
    </font>
    <font>
      <sz val="10"/>
      <color indexed="45"/>
      <name val="Arial"/>
      <family val="0"/>
    </font>
    <font>
      <sz val="10"/>
      <color indexed="9"/>
      <name val="Arial"/>
      <family val="0"/>
    </font>
    <font>
      <sz val="10"/>
      <color indexed="57"/>
      <name val="Arial"/>
      <family val="0"/>
    </font>
    <font>
      <i/>
      <strike/>
      <sz val="10"/>
      <color indexed="10"/>
      <name val="Arial"/>
      <family val="2"/>
    </font>
    <font>
      <sz val="16"/>
      <name val="Arial"/>
      <family val="2"/>
    </font>
    <font>
      <sz val="10"/>
      <color indexed="53"/>
      <name val="Arial"/>
      <family val="2"/>
    </font>
    <font>
      <sz val="10"/>
      <color indexed="40"/>
      <name val="Arial"/>
      <family val="2"/>
    </font>
    <font>
      <sz val="10"/>
      <color indexed="17"/>
      <name val="Arial"/>
      <family val="2"/>
    </font>
    <font>
      <sz val="10"/>
      <color indexed="15"/>
      <name val="Arial"/>
      <family val="2"/>
    </font>
    <font>
      <i/>
      <sz val="10"/>
      <color indexed="44"/>
      <name val="Arial"/>
      <family val="2"/>
    </font>
    <font>
      <i/>
      <sz val="10"/>
      <color indexed="41"/>
      <name val="Arial"/>
      <family val="2"/>
    </font>
    <font>
      <i/>
      <sz val="10"/>
      <color indexed="40"/>
      <name val="Arial"/>
      <family val="2"/>
    </font>
    <font>
      <i/>
      <sz val="10"/>
      <color indexed="15"/>
      <name val="Arial"/>
      <family val="2"/>
    </font>
    <font>
      <sz val="10"/>
      <color indexed="8"/>
      <name val="Arial"/>
      <family val="2"/>
    </font>
    <font>
      <i/>
      <sz val="10"/>
      <color indexed="8"/>
      <name val="Arial"/>
      <family val="2"/>
    </font>
    <font>
      <sz val="10"/>
      <color indexed="11"/>
      <name val="Arial"/>
      <family val="2"/>
    </font>
    <font>
      <b/>
      <sz val="10"/>
      <color indexed="53"/>
      <name val="Arial"/>
      <family val="2"/>
    </font>
    <font>
      <b/>
      <sz val="10"/>
      <color indexed="17"/>
      <name val="Arial"/>
      <family val="2"/>
    </font>
    <font>
      <b/>
      <sz val="10"/>
      <color indexed="9"/>
      <name val="Arial"/>
      <family val="2"/>
    </font>
    <font>
      <u val="single"/>
      <sz val="10"/>
      <color indexed="12"/>
      <name val="Arial"/>
      <family val="0"/>
    </font>
    <font>
      <u val="single"/>
      <sz val="10"/>
      <color indexed="36"/>
      <name val="Arial"/>
      <family val="0"/>
    </font>
    <font>
      <b/>
      <sz val="8"/>
      <name val="Arial"/>
      <family val="2"/>
    </font>
  </fonts>
  <fills count="29">
    <fill>
      <patternFill/>
    </fill>
    <fill>
      <patternFill patternType="gray125"/>
    </fill>
    <fill>
      <patternFill patternType="solid">
        <fgColor indexed="15"/>
        <bgColor indexed="64"/>
      </patternFill>
    </fill>
    <fill>
      <patternFill patternType="solid">
        <fgColor indexed="40"/>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
      <patternFill patternType="solid">
        <fgColor indexed="47"/>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48"/>
        <bgColor indexed="64"/>
      </patternFill>
    </fill>
    <fill>
      <patternFill patternType="solid">
        <fgColor indexed="21"/>
        <bgColor indexed="64"/>
      </patternFill>
    </fill>
    <fill>
      <patternFill patternType="solid">
        <fgColor indexed="57"/>
        <bgColor indexed="64"/>
      </patternFill>
    </fill>
    <fill>
      <patternFill patternType="solid">
        <fgColor indexed="43"/>
        <bgColor indexed="64"/>
      </patternFill>
    </fill>
    <fill>
      <patternFill patternType="solid">
        <fgColor indexed="45"/>
        <bgColor indexed="64"/>
      </patternFill>
    </fill>
    <fill>
      <patternFill patternType="darkUp">
        <fgColor indexed="21"/>
        <bgColor indexed="8"/>
      </patternFill>
    </fill>
    <fill>
      <patternFill patternType="solid">
        <fgColor indexed="46"/>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1"/>
        <bgColor indexed="64"/>
      </patternFill>
    </fill>
    <fill>
      <patternFill patternType="solid">
        <fgColor indexed="50"/>
        <bgColor indexed="64"/>
      </patternFill>
    </fill>
    <fill>
      <patternFill patternType="solid">
        <fgColor indexed="14"/>
        <bgColor indexed="64"/>
      </patternFill>
    </fill>
    <fill>
      <patternFill patternType="solid">
        <fgColor indexed="22"/>
        <bgColor indexed="64"/>
      </patternFill>
    </fill>
    <fill>
      <patternFill patternType="darkUp">
        <bgColor indexed="12"/>
      </patternFill>
    </fill>
    <fill>
      <patternFill patternType="solid">
        <fgColor indexed="63"/>
        <bgColor indexed="64"/>
      </patternFill>
    </fill>
    <fill>
      <patternFill patternType="solid">
        <fgColor indexed="49"/>
        <bgColor indexed="64"/>
      </patternFill>
    </fill>
  </fills>
  <borders count="71">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color indexed="17"/>
      </top>
      <bottom style="thin">
        <color indexed="17"/>
      </bottom>
    </border>
    <border>
      <left style="thin"/>
      <right style="thin"/>
      <top style="thin">
        <color indexed="17"/>
      </top>
      <bottom>
        <color indexed="63"/>
      </bottom>
    </border>
    <border>
      <left style="thin"/>
      <right style="thin"/>
      <top>
        <color indexed="63"/>
      </top>
      <bottom style="thin">
        <color indexed="17"/>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color indexed="17"/>
      </bottom>
    </border>
    <border>
      <left style="thin"/>
      <right style="thin"/>
      <top style="thin">
        <color indexed="17"/>
      </top>
      <bottom style="thin"/>
    </border>
    <border>
      <left style="thin"/>
      <right style="thin"/>
      <top style="thin"/>
      <bottom style="thin">
        <color indexed="55"/>
      </bottom>
    </border>
    <border>
      <left>
        <color indexed="63"/>
      </left>
      <right style="thin"/>
      <top style="thin"/>
      <bottom>
        <color indexed="63"/>
      </bottom>
    </border>
    <border>
      <left style="thin"/>
      <right style="thin"/>
      <top style="thin">
        <color indexed="55"/>
      </top>
      <bottom style="thin">
        <color indexed="55"/>
      </bottom>
    </border>
    <border>
      <left style="thin"/>
      <right style="thin"/>
      <top style="thin">
        <color indexed="55"/>
      </top>
      <bottom>
        <color indexed="63"/>
      </bottom>
    </border>
    <border>
      <left style="thin"/>
      <right style="thin"/>
      <top>
        <color indexed="63"/>
      </top>
      <bottom style="thin">
        <color indexed="55"/>
      </botto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thin"/>
      <right style="thin"/>
      <top style="thick">
        <color indexed="10"/>
      </top>
      <bottom style="thick">
        <color indexed="10"/>
      </bottom>
    </border>
    <border>
      <left>
        <color indexed="63"/>
      </left>
      <right>
        <color indexed="63"/>
      </right>
      <top style="thick">
        <color indexed="10"/>
      </top>
      <bottom style="thick">
        <color indexed="10"/>
      </bottom>
    </border>
    <border>
      <left>
        <color indexed="63"/>
      </left>
      <right style="medium"/>
      <top style="thick">
        <color indexed="10"/>
      </top>
      <bottom style="thick">
        <color indexed="10"/>
      </bottom>
    </border>
    <border>
      <left style="medium"/>
      <right>
        <color indexed="63"/>
      </right>
      <top style="thick">
        <color indexed="10"/>
      </top>
      <bottom style="thick">
        <color indexed="10"/>
      </bottom>
    </border>
    <border>
      <left>
        <color indexed="63"/>
      </left>
      <right>
        <color indexed="63"/>
      </right>
      <top style="thick">
        <color indexed="11"/>
      </top>
      <bottom style="thick">
        <color indexed="11"/>
      </bottom>
    </border>
    <border>
      <left>
        <color indexed="63"/>
      </left>
      <right style="medium"/>
      <top style="thick">
        <color indexed="11"/>
      </top>
      <bottom style="thick">
        <color indexed="1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color indexed="53"/>
      </top>
      <bottom style="thick">
        <color indexed="53"/>
      </bottom>
    </border>
    <border>
      <left style="thin"/>
      <right style="thin"/>
      <top style="thick">
        <color indexed="53"/>
      </top>
      <bottom style="thick">
        <color indexed="53"/>
      </bottom>
    </border>
    <border>
      <left>
        <color indexed="63"/>
      </left>
      <right>
        <color indexed="63"/>
      </right>
      <top style="thick">
        <color indexed="17"/>
      </top>
      <bottom style="thick">
        <color indexed="17"/>
      </bottom>
    </border>
    <border>
      <left style="thin"/>
      <right style="thin"/>
      <top style="thick">
        <color indexed="17"/>
      </top>
      <bottom style="thick">
        <color indexed="17"/>
      </bottom>
    </border>
    <border>
      <left>
        <color indexed="63"/>
      </left>
      <right>
        <color indexed="63"/>
      </right>
      <top>
        <color indexed="63"/>
      </top>
      <bottom style="thick">
        <color indexed="53"/>
      </bottom>
    </border>
    <border>
      <left>
        <color indexed="63"/>
      </left>
      <right>
        <color indexed="63"/>
      </right>
      <top style="medium"/>
      <bottom style="thick">
        <color indexed="40"/>
      </bottom>
    </border>
    <border>
      <left>
        <color indexed="63"/>
      </left>
      <right>
        <color indexed="63"/>
      </right>
      <top>
        <color indexed="63"/>
      </top>
      <bottom style="thick">
        <color indexed="57"/>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color indexed="63"/>
      </top>
      <bottom style="thick">
        <color indexed="17"/>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style="double">
        <color indexed="17"/>
      </left>
      <right>
        <color indexed="63"/>
      </right>
      <top style="double">
        <color indexed="17"/>
      </top>
      <bottom style="double">
        <color indexed="17"/>
      </bottom>
    </border>
    <border>
      <left>
        <color indexed="63"/>
      </left>
      <right>
        <color indexed="63"/>
      </right>
      <top style="double">
        <color indexed="17"/>
      </top>
      <bottom style="double">
        <color indexed="17"/>
      </bottom>
    </border>
    <border>
      <left>
        <color indexed="63"/>
      </left>
      <right style="double">
        <color indexed="17"/>
      </right>
      <top style="double">
        <color indexed="17"/>
      </top>
      <bottom style="double">
        <color indexed="17"/>
      </bottom>
    </border>
    <border>
      <left style="thin"/>
      <right style="thin"/>
      <top style="medium"/>
      <bottom>
        <color indexed="63"/>
      </bottom>
    </border>
    <border>
      <left>
        <color indexed="63"/>
      </left>
      <right style="dotted"/>
      <top>
        <color indexed="63"/>
      </top>
      <bottom>
        <color indexed="63"/>
      </bottom>
    </border>
    <border>
      <left>
        <color indexed="63"/>
      </left>
      <right style="medium"/>
      <top>
        <color indexed="63"/>
      </top>
      <bottom style="thick">
        <color indexed="11"/>
      </bottom>
    </border>
    <border>
      <left>
        <color indexed="63"/>
      </left>
      <right style="medium"/>
      <top style="thick">
        <color indexed="11"/>
      </top>
      <bottom>
        <color indexed="63"/>
      </bottom>
    </border>
    <border>
      <left>
        <color indexed="63"/>
      </left>
      <right style="medium"/>
      <top>
        <color indexed="63"/>
      </top>
      <bottom style="thick">
        <color indexed="10"/>
      </bottom>
    </border>
    <border>
      <left>
        <color indexed="63"/>
      </left>
      <right style="medium">
        <color indexed="8"/>
      </right>
      <top style="thick">
        <color indexed="10"/>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right"/>
    </xf>
    <xf numFmtId="0" fontId="0"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0" fillId="0" borderId="0" xfId="0" applyAlignment="1">
      <alignment horizontal="left"/>
    </xf>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horizontal="left"/>
    </xf>
    <xf numFmtId="175" fontId="3" fillId="0" borderId="0" xfId="0" applyNumberFormat="1" applyFont="1" applyAlignment="1">
      <alignment horizontal="center"/>
    </xf>
    <xf numFmtId="49" fontId="0" fillId="0" borderId="0" xfId="0" applyNumberFormat="1" applyAlignment="1">
      <alignment/>
    </xf>
    <xf numFmtId="49" fontId="0" fillId="0" borderId="0" xfId="0" applyNumberFormat="1" applyAlignment="1">
      <alignment horizontal="center"/>
    </xf>
    <xf numFmtId="0" fontId="5" fillId="2" borderId="1" xfId="0" applyFont="1" applyFill="1" applyBorder="1" applyAlignment="1">
      <alignment horizontal="center"/>
    </xf>
    <xf numFmtId="0" fontId="5" fillId="3" borderId="1" xfId="0" applyFont="1" applyFill="1" applyBorder="1" applyAlignment="1">
      <alignment horizontal="center"/>
    </xf>
    <xf numFmtId="0" fontId="5" fillId="4" borderId="1" xfId="0" applyFont="1" applyFill="1" applyBorder="1" applyAlignment="1">
      <alignment horizontal="center"/>
    </xf>
    <xf numFmtId="0" fontId="3" fillId="2" borderId="1" xfId="0" applyFont="1" applyFill="1" applyBorder="1" applyAlignment="1">
      <alignment horizontal="center"/>
    </xf>
    <xf numFmtId="0" fontId="0" fillId="5" borderId="2" xfId="0" applyFill="1" applyBorder="1" applyAlignment="1">
      <alignment/>
    </xf>
    <xf numFmtId="0" fontId="0" fillId="5" borderId="3" xfId="0" applyFill="1" applyBorder="1" applyAlignment="1">
      <alignment/>
    </xf>
    <xf numFmtId="49" fontId="3" fillId="5" borderId="3" xfId="0" applyNumberFormat="1"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5" fillId="0" borderId="0" xfId="0" applyFont="1" applyFill="1" applyBorder="1" applyAlignment="1">
      <alignment horizontal="center"/>
    </xf>
    <xf numFmtId="49" fontId="5" fillId="5" borderId="1" xfId="0" applyNumberFormat="1" applyFont="1" applyFill="1" applyBorder="1" applyAlignment="1">
      <alignment horizontal="center"/>
    </xf>
    <xf numFmtId="0" fontId="3" fillId="0" borderId="4" xfId="0" applyFont="1" applyFill="1" applyBorder="1" applyAlignment="1">
      <alignment horizontal="center"/>
    </xf>
    <xf numFmtId="177" fontId="3" fillId="0" borderId="3" xfId="0" applyNumberFormat="1" applyFont="1" applyBorder="1" applyAlignment="1">
      <alignment horizontal="center"/>
    </xf>
    <xf numFmtId="177" fontId="5" fillId="8" borderId="1" xfId="0" applyNumberFormat="1" applyFont="1" applyFill="1" applyBorder="1" applyAlignment="1">
      <alignment horizontal="center"/>
    </xf>
    <xf numFmtId="0" fontId="1" fillId="8" borderId="5" xfId="0" applyFont="1" applyFill="1" applyBorder="1" applyAlignment="1">
      <alignment/>
    </xf>
    <xf numFmtId="0" fontId="5" fillId="8" borderId="1" xfId="0" applyNumberFormat="1" applyFont="1" applyFill="1" applyBorder="1" applyAlignment="1">
      <alignment horizontal="center"/>
    </xf>
    <xf numFmtId="0" fontId="3" fillId="0" borderId="0" xfId="0" applyFont="1" applyAlignment="1">
      <alignment horizontal="center"/>
    </xf>
    <xf numFmtId="175" fontId="0" fillId="0" borderId="0" xfId="0" applyNumberFormat="1" applyAlignment="1">
      <alignment horizontal="center"/>
    </xf>
    <xf numFmtId="182" fontId="0" fillId="0" borderId="0" xfId="0" applyNumberFormat="1" applyAlignment="1">
      <alignment horizontal="center"/>
    </xf>
    <xf numFmtId="0" fontId="6" fillId="0" borderId="0" xfId="0" applyFont="1" applyAlignment="1">
      <alignment horizontal="center"/>
    </xf>
    <xf numFmtId="0" fontId="1" fillId="5" borderId="6" xfId="0" applyFont="1" applyFill="1" applyBorder="1" applyAlignment="1">
      <alignment/>
    </xf>
    <xf numFmtId="0" fontId="1" fillId="5" borderId="3" xfId="0" applyFont="1" applyFill="1" applyBorder="1" applyAlignment="1">
      <alignment/>
    </xf>
    <xf numFmtId="0" fontId="3" fillId="5" borderId="3" xfId="0" applyFont="1" applyFill="1" applyBorder="1" applyAlignment="1">
      <alignment/>
    </xf>
    <xf numFmtId="0" fontId="7" fillId="0" borderId="0" xfId="0" applyFont="1" applyAlignment="1">
      <alignment/>
    </xf>
    <xf numFmtId="0" fontId="5" fillId="0" borderId="2" xfId="0" applyNumberFormat="1" applyFont="1" applyFill="1" applyBorder="1" applyAlignment="1">
      <alignment horizontal="center"/>
    </xf>
    <xf numFmtId="177" fontId="3" fillId="0" borderId="3" xfId="0" applyNumberFormat="1" applyFont="1" applyFill="1" applyBorder="1" applyAlignment="1">
      <alignment horizontal="center"/>
    </xf>
    <xf numFmtId="177" fontId="5" fillId="0" borderId="3" xfId="0" applyNumberFormat="1" applyFont="1" applyFill="1" applyBorder="1" applyAlignment="1">
      <alignment horizontal="center"/>
    </xf>
    <xf numFmtId="177" fontId="5" fillId="0" borderId="6" xfId="0" applyNumberFormat="1" applyFont="1" applyFill="1" applyBorder="1" applyAlignment="1">
      <alignment horizontal="center"/>
    </xf>
    <xf numFmtId="183" fontId="3" fillId="7" borderId="7" xfId="0" applyNumberFormat="1" applyFont="1" applyFill="1" applyBorder="1" applyAlignment="1">
      <alignment horizontal="center"/>
    </xf>
    <xf numFmtId="183" fontId="3" fillId="7" borderId="8" xfId="0" applyNumberFormat="1" applyFont="1" applyFill="1" applyBorder="1" applyAlignment="1">
      <alignment horizontal="center"/>
    </xf>
    <xf numFmtId="183" fontId="3" fillId="7" borderId="9" xfId="0" applyNumberFormat="1" applyFont="1" applyFill="1" applyBorder="1" applyAlignment="1">
      <alignment horizontal="center"/>
    </xf>
    <xf numFmtId="0" fontId="1" fillId="0" borderId="10" xfId="0" applyFont="1" applyFill="1" applyBorder="1" applyAlignment="1">
      <alignment/>
    </xf>
    <xf numFmtId="0" fontId="0" fillId="0" borderId="11" xfId="0"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175" fontId="0" fillId="0" borderId="13" xfId="0" applyNumberFormat="1" applyFill="1" applyBorder="1" applyAlignment="1">
      <alignment horizontal="center"/>
    </xf>
    <xf numFmtId="175" fontId="1" fillId="0" borderId="13" xfId="0" applyNumberFormat="1" applyFont="1" applyFill="1" applyBorder="1" applyAlignment="1">
      <alignment horizontal="center"/>
    </xf>
    <xf numFmtId="175" fontId="1" fillId="0" borderId="14" xfId="0" applyNumberFormat="1" applyFont="1" applyFill="1" applyBorder="1" applyAlignment="1">
      <alignment horizontal="center"/>
    </xf>
    <xf numFmtId="49" fontId="5" fillId="6" borderId="15" xfId="0" applyNumberFormat="1" applyFont="1" applyFill="1" applyBorder="1" applyAlignment="1">
      <alignment horizontal="center"/>
    </xf>
    <xf numFmtId="183" fontId="5" fillId="6" borderId="1" xfId="0" applyNumberFormat="1" applyFont="1" applyFill="1" applyBorder="1" applyAlignment="1">
      <alignment horizontal="center"/>
    </xf>
    <xf numFmtId="183" fontId="5" fillId="6" borderId="7" xfId="0" applyNumberFormat="1" applyFont="1" applyFill="1" applyBorder="1" applyAlignment="1">
      <alignment horizontal="center"/>
    </xf>
    <xf numFmtId="183" fontId="5" fillId="6" borderId="16" xfId="0" applyNumberFormat="1" applyFont="1" applyFill="1" applyBorder="1" applyAlignment="1">
      <alignment horizontal="center"/>
    </xf>
    <xf numFmtId="49" fontId="5" fillId="9" borderId="17" xfId="0" applyNumberFormat="1" applyFont="1" applyFill="1" applyBorder="1" applyAlignment="1">
      <alignment horizontal="center"/>
    </xf>
    <xf numFmtId="0" fontId="1" fillId="9" borderId="17" xfId="0" applyFont="1" applyFill="1" applyBorder="1" applyAlignment="1">
      <alignment horizontal="center"/>
    </xf>
    <xf numFmtId="0" fontId="1" fillId="0" borderId="18" xfId="0" applyNumberFormat="1" applyFont="1" applyFill="1" applyBorder="1" applyAlignment="1">
      <alignment horizontal="center"/>
    </xf>
    <xf numFmtId="177" fontId="3" fillId="5" borderId="19" xfId="0" applyNumberFormat="1" applyFont="1" applyFill="1" applyBorder="1" applyAlignment="1">
      <alignment horizontal="center"/>
    </xf>
    <xf numFmtId="177" fontId="3" fillId="5" borderId="20" xfId="0" applyNumberFormat="1" applyFont="1" applyFill="1" applyBorder="1" applyAlignment="1">
      <alignment horizontal="center"/>
    </xf>
    <xf numFmtId="177" fontId="3" fillId="5" borderId="21" xfId="0" applyNumberFormat="1" applyFont="1" applyFill="1" applyBorder="1" applyAlignment="1">
      <alignment horizontal="center"/>
    </xf>
    <xf numFmtId="0" fontId="3" fillId="0" borderId="0" xfId="0" applyFont="1" applyFill="1" applyBorder="1" applyAlignment="1">
      <alignment horizontal="center"/>
    </xf>
    <xf numFmtId="177" fontId="5" fillId="0" borderId="4" xfId="0" applyNumberFormat="1" applyFont="1" applyFill="1" applyBorder="1" applyAlignment="1">
      <alignment horizontal="center"/>
    </xf>
    <xf numFmtId="0" fontId="1" fillId="0" borderId="4" xfId="0" applyFont="1" applyFill="1" applyBorder="1" applyAlignment="1">
      <alignment/>
    </xf>
    <xf numFmtId="49" fontId="5" fillId="0" borderId="4" xfId="0" applyNumberFormat="1" applyFont="1" applyFill="1" applyBorder="1" applyAlignment="1">
      <alignment horizontal="center"/>
    </xf>
    <xf numFmtId="0" fontId="2" fillId="0" borderId="0" xfId="0" applyFont="1" applyAlignment="1">
      <alignment horizontal="center"/>
    </xf>
    <xf numFmtId="0" fontId="0" fillId="0" borderId="0" xfId="0" applyFont="1" applyAlignment="1">
      <alignment horizontal="center"/>
    </xf>
    <xf numFmtId="177" fontId="3" fillId="9" borderId="1" xfId="0" applyNumberFormat="1" applyFont="1" applyFill="1" applyBorder="1" applyAlignment="1">
      <alignment horizontal="center"/>
    </xf>
    <xf numFmtId="185" fontId="3" fillId="5" borderId="19" xfId="0" applyNumberFormat="1" applyFont="1" applyFill="1" applyBorder="1" applyAlignment="1">
      <alignment horizontal="center"/>
    </xf>
    <xf numFmtId="185" fontId="3" fillId="5" borderId="20" xfId="0" applyNumberFormat="1" applyFont="1" applyFill="1" applyBorder="1" applyAlignment="1">
      <alignment horizontal="center"/>
    </xf>
    <xf numFmtId="185" fontId="3" fillId="9" borderId="1" xfId="0" applyNumberFormat="1" applyFont="1" applyFill="1" applyBorder="1" applyAlignment="1">
      <alignment horizontal="center"/>
    </xf>
    <xf numFmtId="185" fontId="3" fillId="5" borderId="21" xfId="0" applyNumberFormat="1" applyFont="1" applyFill="1" applyBorder="1" applyAlignment="1">
      <alignment horizontal="center"/>
    </xf>
    <xf numFmtId="49" fontId="0" fillId="10" borderId="19" xfId="0" applyNumberFormat="1" applyFont="1" applyFill="1" applyBorder="1" applyAlignment="1">
      <alignment horizontal="center"/>
    </xf>
    <xf numFmtId="49" fontId="0" fillId="10" borderId="20" xfId="0" applyNumberFormat="1" applyFont="1" applyFill="1" applyBorder="1" applyAlignment="1">
      <alignment horizontal="center"/>
    </xf>
    <xf numFmtId="49" fontId="1" fillId="9" borderId="1" xfId="0" applyNumberFormat="1" applyFont="1" applyFill="1" applyBorder="1" applyAlignment="1">
      <alignment horizontal="center"/>
    </xf>
    <xf numFmtId="49" fontId="0" fillId="10" borderId="21" xfId="0" applyNumberFormat="1" applyFont="1" applyFill="1" applyBorder="1" applyAlignment="1">
      <alignment horizontal="center"/>
    </xf>
    <xf numFmtId="49" fontId="2" fillId="0" borderId="0" xfId="0" applyNumberFormat="1" applyFont="1" applyAlignment="1">
      <alignment horizontal="center"/>
    </xf>
    <xf numFmtId="185" fontId="5" fillId="3" borderId="1" xfId="0" applyNumberFormat="1" applyFont="1" applyFill="1" applyBorder="1" applyAlignment="1">
      <alignment horizontal="center"/>
    </xf>
    <xf numFmtId="185" fontId="5" fillId="3" borderId="16" xfId="0" applyNumberFormat="1" applyFont="1" applyFill="1" applyBorder="1" applyAlignment="1">
      <alignment horizontal="center"/>
    </xf>
    <xf numFmtId="185" fontId="3" fillId="11" borderId="1" xfId="0" applyNumberFormat="1" applyFont="1" applyFill="1" applyBorder="1" applyAlignment="1">
      <alignment horizontal="center"/>
    </xf>
    <xf numFmtId="185" fontId="5" fillId="12" borderId="1" xfId="0" applyNumberFormat="1" applyFont="1" applyFill="1" applyBorder="1" applyAlignment="1">
      <alignment horizontal="center"/>
    </xf>
    <xf numFmtId="185" fontId="3" fillId="13" borderId="15" xfId="0" applyNumberFormat="1" applyFont="1" applyFill="1" applyBorder="1" applyAlignment="1">
      <alignment horizontal="center"/>
    </xf>
    <xf numFmtId="185" fontId="3" fillId="14" borderId="7" xfId="0" applyNumberFormat="1" applyFont="1" applyFill="1" applyBorder="1" applyAlignment="1">
      <alignment horizontal="center"/>
    </xf>
    <xf numFmtId="185" fontId="3" fillId="14" borderId="9" xfId="0" applyNumberFormat="1" applyFont="1" applyFill="1" applyBorder="1" applyAlignment="1">
      <alignment horizontal="center"/>
    </xf>
    <xf numFmtId="185" fontId="3" fillId="14" borderId="8" xfId="0" applyNumberFormat="1" applyFont="1" applyFill="1" applyBorder="1" applyAlignment="1">
      <alignment horizontal="center"/>
    </xf>
    <xf numFmtId="185" fontId="5" fillId="11" borderId="1" xfId="0" applyNumberFormat="1" applyFont="1" applyFill="1" applyBorder="1" applyAlignment="1">
      <alignment horizontal="center"/>
    </xf>
    <xf numFmtId="178" fontId="0" fillId="0" borderId="0" xfId="0" applyNumberFormat="1" applyAlignment="1">
      <alignment horizontal="center"/>
    </xf>
    <xf numFmtId="0" fontId="1" fillId="0" borderId="2" xfId="0" applyFont="1" applyFill="1" applyBorder="1" applyAlignment="1">
      <alignment/>
    </xf>
    <xf numFmtId="0" fontId="0" fillId="0" borderId="3" xfId="0" applyFill="1" applyBorder="1" applyAlignment="1">
      <alignment/>
    </xf>
    <xf numFmtId="0" fontId="1" fillId="0" borderId="3" xfId="0" applyFont="1" applyFill="1" applyBorder="1" applyAlignment="1">
      <alignment/>
    </xf>
    <xf numFmtId="0" fontId="1" fillId="0" borderId="6" xfId="0" applyFont="1" applyFill="1" applyBorder="1" applyAlignment="1">
      <alignment/>
    </xf>
    <xf numFmtId="185" fontId="3" fillId="14" borderId="3" xfId="0" applyNumberFormat="1" applyFont="1" applyFill="1" applyBorder="1" applyAlignment="1">
      <alignment horizontal="center"/>
    </xf>
    <xf numFmtId="183" fontId="3" fillId="4" borderId="1" xfId="0" applyNumberFormat="1" applyFont="1" applyFill="1" applyBorder="1" applyAlignment="1">
      <alignment horizontal="center"/>
    </xf>
    <xf numFmtId="185" fontId="0" fillId="5" borderId="3" xfId="0" applyNumberFormat="1" applyFill="1" applyBorder="1" applyAlignment="1">
      <alignment horizontal="center"/>
    </xf>
    <xf numFmtId="185" fontId="1" fillId="9" borderId="1" xfId="0" applyNumberFormat="1" applyFont="1" applyFill="1" applyBorder="1" applyAlignment="1">
      <alignment horizontal="center"/>
    </xf>
    <xf numFmtId="185" fontId="0" fillId="0" borderId="3" xfId="0" applyNumberFormat="1" applyFill="1" applyBorder="1" applyAlignment="1">
      <alignment horizontal="center"/>
    </xf>
    <xf numFmtId="185" fontId="1" fillId="0" borderId="2" xfId="0" applyNumberFormat="1" applyFont="1" applyFill="1" applyBorder="1" applyAlignment="1">
      <alignment horizontal="center"/>
    </xf>
    <xf numFmtId="185" fontId="1" fillId="0" borderId="3" xfId="0" applyNumberFormat="1" applyFont="1" applyFill="1" applyBorder="1" applyAlignment="1">
      <alignment horizontal="center"/>
    </xf>
    <xf numFmtId="185" fontId="1" fillId="0" borderId="6" xfId="0" applyNumberFormat="1" applyFont="1" applyFill="1" applyBorder="1" applyAlignment="1">
      <alignment horizontal="center"/>
    </xf>
    <xf numFmtId="183" fontId="5" fillId="6" borderId="15" xfId="0" applyNumberFormat="1" applyFont="1" applyFill="1" applyBorder="1" applyAlignment="1">
      <alignment horizontal="center"/>
    </xf>
    <xf numFmtId="183" fontId="3" fillId="11" borderId="1" xfId="0" applyNumberFormat="1" applyFont="1" applyFill="1" applyBorder="1" applyAlignment="1">
      <alignment horizontal="center"/>
    </xf>
    <xf numFmtId="0" fontId="17" fillId="0" borderId="0" xfId="0" applyFont="1" applyAlignment="1">
      <alignment horizontal="center"/>
    </xf>
    <xf numFmtId="175" fontId="0" fillId="2" borderId="0" xfId="0" applyNumberFormat="1" applyFill="1" applyAlignment="1">
      <alignment horizontal="center"/>
    </xf>
    <xf numFmtId="186" fontId="0" fillId="0" borderId="0" xfId="0" applyNumberFormat="1" applyFill="1" applyAlignment="1">
      <alignment horizontal="center"/>
    </xf>
    <xf numFmtId="179" fontId="0" fillId="0" borderId="0" xfId="0" applyNumberFormat="1" applyAlignment="1">
      <alignment/>
    </xf>
    <xf numFmtId="179" fontId="0" fillId="0" borderId="0" xfId="0" applyNumberFormat="1" applyFont="1" applyAlignment="1">
      <alignment/>
    </xf>
    <xf numFmtId="179" fontId="1" fillId="0" borderId="0" xfId="0" applyNumberFormat="1" applyFont="1" applyAlignment="1">
      <alignment/>
    </xf>
    <xf numFmtId="179" fontId="19" fillId="0" borderId="0" xfId="0" applyNumberFormat="1" applyFont="1" applyAlignment="1">
      <alignment/>
    </xf>
    <xf numFmtId="179" fontId="18" fillId="0" borderId="0" xfId="0" applyNumberFormat="1" applyFont="1" applyAlignment="1">
      <alignment/>
    </xf>
    <xf numFmtId="179" fontId="19" fillId="0" borderId="0" xfId="0" applyNumberFormat="1" applyFont="1" applyAlignment="1">
      <alignment/>
    </xf>
    <xf numFmtId="179" fontId="20" fillId="15" borderId="1" xfId="0" applyNumberFormat="1" applyFont="1" applyFill="1" applyBorder="1" applyAlignment="1">
      <alignment horizontal="center"/>
    </xf>
    <xf numFmtId="179" fontId="1" fillId="16" borderId="0" xfId="0" applyNumberFormat="1" applyFont="1" applyFill="1" applyAlignment="1">
      <alignment/>
    </xf>
    <xf numFmtId="179" fontId="24" fillId="0" borderId="0" xfId="0" applyNumberFormat="1" applyFont="1" applyAlignment="1">
      <alignment/>
    </xf>
    <xf numFmtId="0" fontId="0" fillId="0" borderId="0" xfId="0" applyFont="1" applyAlignment="1">
      <alignment horizontal="center"/>
    </xf>
    <xf numFmtId="0" fontId="0" fillId="17" borderId="0" xfId="0" applyFill="1" applyAlignment="1">
      <alignment/>
    </xf>
    <xf numFmtId="0" fontId="0" fillId="17" borderId="10" xfId="0" applyFill="1" applyBorder="1" applyAlignment="1">
      <alignment/>
    </xf>
    <xf numFmtId="0" fontId="0" fillId="17" borderId="13" xfId="0" applyFill="1" applyBorder="1" applyAlignment="1">
      <alignment/>
    </xf>
    <xf numFmtId="0" fontId="0" fillId="17" borderId="11" xfId="0" applyFill="1" applyBorder="1" applyAlignment="1">
      <alignment/>
    </xf>
    <xf numFmtId="0" fontId="0" fillId="17" borderId="12" xfId="0" applyFill="1" applyBorder="1" applyAlignment="1">
      <alignment/>
    </xf>
    <xf numFmtId="0" fontId="2" fillId="18" borderId="6" xfId="0" applyFont="1" applyFill="1" applyBorder="1" applyAlignment="1">
      <alignment horizontal="center"/>
    </xf>
    <xf numFmtId="0" fontId="2" fillId="16" borderId="6" xfId="0" applyFont="1" applyFill="1" applyBorder="1" applyAlignment="1">
      <alignment horizontal="center"/>
    </xf>
    <xf numFmtId="0" fontId="2" fillId="8" borderId="6" xfId="0" applyFont="1" applyFill="1" applyBorder="1" applyAlignment="1">
      <alignment horizontal="center"/>
    </xf>
    <xf numFmtId="0" fontId="2" fillId="7" borderId="6" xfId="0" applyFont="1" applyFill="1" applyBorder="1" applyAlignment="1">
      <alignment horizontal="center"/>
    </xf>
    <xf numFmtId="0" fontId="2" fillId="19" borderId="6" xfId="0" applyFont="1" applyFill="1" applyBorder="1" applyAlignment="1">
      <alignment horizontal="center"/>
    </xf>
    <xf numFmtId="0" fontId="2" fillId="20" borderId="6" xfId="0" applyFont="1" applyFill="1" applyBorder="1" applyAlignment="1">
      <alignment horizontal="center"/>
    </xf>
    <xf numFmtId="0" fontId="0" fillId="8" borderId="3" xfId="0" applyFill="1" applyBorder="1" applyAlignment="1">
      <alignment horizontal="center"/>
    </xf>
    <xf numFmtId="0" fontId="0" fillId="18" borderId="3" xfId="0" applyFill="1" applyBorder="1" applyAlignment="1">
      <alignment horizontal="center"/>
    </xf>
    <xf numFmtId="0" fontId="0" fillId="7" borderId="3" xfId="0" applyFill="1" applyBorder="1" applyAlignment="1">
      <alignment horizontal="center"/>
    </xf>
    <xf numFmtId="0" fontId="0" fillId="19" borderId="3" xfId="0" applyFill="1" applyBorder="1" applyAlignment="1">
      <alignment horizontal="center"/>
    </xf>
    <xf numFmtId="0" fontId="25" fillId="20" borderId="3" xfId="0" applyFont="1" applyFill="1" applyBorder="1" applyAlignment="1">
      <alignment horizontal="center"/>
    </xf>
    <xf numFmtId="0" fontId="0" fillId="21" borderId="3" xfId="0" applyFill="1" applyBorder="1" applyAlignment="1">
      <alignment horizontal="center"/>
    </xf>
    <xf numFmtId="185" fontId="1" fillId="9" borderId="2" xfId="0" applyNumberFormat="1" applyFont="1" applyFill="1" applyBorder="1" applyAlignment="1">
      <alignment horizontal="center"/>
    </xf>
    <xf numFmtId="0" fontId="0" fillId="0" borderId="0" xfId="0" applyFill="1" applyBorder="1" applyAlignment="1">
      <alignment/>
    </xf>
    <xf numFmtId="0" fontId="2" fillId="21" borderId="2" xfId="0" applyFont="1" applyFill="1" applyBorder="1" applyAlignment="1">
      <alignment horizontal="center"/>
    </xf>
    <xf numFmtId="0" fontId="2" fillId="16" borderId="2" xfId="0" applyFont="1" applyFill="1" applyBorder="1" applyAlignment="1">
      <alignment horizontal="center"/>
    </xf>
    <xf numFmtId="186" fontId="0" fillId="17" borderId="0" xfId="0" applyNumberFormat="1" applyFill="1" applyAlignment="1">
      <alignment horizontal="center"/>
    </xf>
    <xf numFmtId="0" fontId="2" fillId="16" borderId="3" xfId="0" applyFont="1" applyFill="1" applyBorder="1" applyAlignment="1">
      <alignment horizontal="center"/>
    </xf>
    <xf numFmtId="0" fontId="2" fillId="8" borderId="2" xfId="0" applyFont="1" applyFill="1" applyBorder="1" applyAlignment="1">
      <alignment horizontal="center"/>
    </xf>
    <xf numFmtId="0" fontId="2" fillId="18" borderId="2" xfId="0" applyFont="1" applyFill="1" applyBorder="1" applyAlignment="1">
      <alignment horizontal="center"/>
    </xf>
    <xf numFmtId="0" fontId="2" fillId="7" borderId="2" xfId="0" applyFont="1" applyFill="1" applyBorder="1" applyAlignment="1">
      <alignment horizontal="center"/>
    </xf>
    <xf numFmtId="0" fontId="2" fillId="19" borderId="2" xfId="0" applyFont="1" applyFill="1" applyBorder="1" applyAlignment="1">
      <alignment horizontal="center"/>
    </xf>
    <xf numFmtId="0" fontId="2" fillId="20" borderId="2" xfId="0" applyFont="1" applyFill="1" applyBorder="1" applyAlignment="1">
      <alignment horizontal="center"/>
    </xf>
    <xf numFmtId="175" fontId="26" fillId="0" borderId="0" xfId="0" applyNumberFormat="1" applyFont="1" applyAlignment="1">
      <alignment horizontal="center"/>
    </xf>
    <xf numFmtId="0" fontId="0" fillId="21" borderId="6" xfId="0" applyFont="1" applyFill="1" applyBorder="1" applyAlignment="1">
      <alignment horizontal="center"/>
    </xf>
    <xf numFmtId="179" fontId="1" fillId="0" borderId="0" xfId="0" applyNumberFormat="1" applyFont="1" applyFill="1" applyAlignment="1">
      <alignment/>
    </xf>
    <xf numFmtId="179" fontId="0" fillId="22" borderId="22" xfId="0" applyNumberFormat="1" applyFont="1" applyFill="1" applyBorder="1" applyAlignment="1">
      <alignment/>
    </xf>
    <xf numFmtId="179" fontId="0" fillId="22" borderId="23" xfId="0" applyNumberFormat="1" applyFont="1" applyFill="1" applyBorder="1" applyAlignment="1">
      <alignment/>
    </xf>
    <xf numFmtId="179" fontId="0" fillId="22" borderId="23" xfId="0" applyNumberFormat="1" applyFont="1" applyFill="1" applyBorder="1" applyAlignment="1">
      <alignment horizontal="center"/>
    </xf>
    <xf numFmtId="179" fontId="0" fillId="22" borderId="24" xfId="0" applyNumberFormat="1" applyFont="1" applyFill="1" applyBorder="1" applyAlignment="1">
      <alignment/>
    </xf>
    <xf numFmtId="179" fontId="0" fillId="23" borderId="22" xfId="0" applyNumberFormat="1" applyFill="1" applyBorder="1" applyAlignment="1">
      <alignment/>
    </xf>
    <xf numFmtId="179" fontId="0" fillId="23" borderId="23" xfId="0" applyNumberFormat="1" applyFill="1" applyBorder="1" applyAlignment="1">
      <alignment/>
    </xf>
    <xf numFmtId="179" fontId="0" fillId="23" borderId="23" xfId="0" applyNumberFormat="1" applyFill="1" applyBorder="1" applyAlignment="1">
      <alignment horizontal="center"/>
    </xf>
    <xf numFmtId="179" fontId="19" fillId="23" borderId="25" xfId="0" applyNumberFormat="1" applyFont="1" applyFill="1" applyBorder="1" applyAlignment="1">
      <alignment/>
    </xf>
    <xf numFmtId="179" fontId="18" fillId="18" borderId="26" xfId="0" applyNumberFormat="1" applyFont="1" applyFill="1" applyBorder="1" applyAlignment="1">
      <alignment/>
    </xf>
    <xf numFmtId="179" fontId="0" fillId="18" borderId="27" xfId="0" applyNumberFormat="1" applyFont="1" applyFill="1" applyBorder="1" applyAlignment="1">
      <alignment horizontal="center"/>
    </xf>
    <xf numFmtId="179" fontId="18" fillId="18" borderId="25" xfId="0" applyNumberFormat="1" applyFont="1" applyFill="1" applyBorder="1" applyAlignment="1">
      <alignment/>
    </xf>
    <xf numFmtId="179" fontId="0" fillId="5" borderId="23" xfId="0" applyNumberFormat="1" applyFill="1" applyBorder="1" applyAlignment="1">
      <alignment/>
    </xf>
    <xf numFmtId="179" fontId="0" fillId="5" borderId="23" xfId="0" applyNumberFormat="1" applyFill="1" applyBorder="1" applyAlignment="1">
      <alignment horizontal="center"/>
    </xf>
    <xf numFmtId="179" fontId="0" fillId="5" borderId="23" xfId="0" applyNumberFormat="1" applyFont="1" applyFill="1" applyBorder="1" applyAlignment="1">
      <alignment/>
    </xf>
    <xf numFmtId="179" fontId="0" fillId="5" borderId="24" xfId="0" applyNumberFormat="1" applyFont="1" applyFill="1" applyBorder="1" applyAlignment="1">
      <alignment/>
    </xf>
    <xf numFmtId="179" fontId="0" fillId="23" borderId="27" xfId="0" applyNumberFormat="1" applyFill="1" applyBorder="1" applyAlignment="1">
      <alignment/>
    </xf>
    <xf numFmtId="179" fontId="0" fillId="7" borderId="22" xfId="0" applyNumberFormat="1" applyFill="1" applyBorder="1" applyAlignment="1">
      <alignment/>
    </xf>
    <xf numFmtId="179" fontId="0" fillId="7" borderId="23" xfId="0" applyNumberFormat="1" applyFill="1" applyBorder="1" applyAlignment="1">
      <alignment/>
    </xf>
    <xf numFmtId="179" fontId="0" fillId="7" borderId="23" xfId="0" applyNumberFormat="1" applyFill="1" applyBorder="1" applyAlignment="1">
      <alignment horizontal="center"/>
    </xf>
    <xf numFmtId="179" fontId="19" fillId="7" borderId="25" xfId="0" applyNumberFormat="1" applyFont="1" applyFill="1" applyBorder="1" applyAlignment="1">
      <alignment/>
    </xf>
    <xf numFmtId="179" fontId="18" fillId="18" borderId="25" xfId="0" applyNumberFormat="1" applyFont="1" applyFill="1" applyBorder="1" applyAlignment="1">
      <alignment/>
    </xf>
    <xf numFmtId="179" fontId="0" fillId="5" borderId="22" xfId="0" applyNumberFormat="1" applyFill="1" applyBorder="1" applyAlignment="1">
      <alignment/>
    </xf>
    <xf numFmtId="179" fontId="0" fillId="5" borderId="24" xfId="0" applyNumberFormat="1" applyFill="1" applyBorder="1" applyAlignment="1">
      <alignment/>
    </xf>
    <xf numFmtId="175" fontId="1" fillId="6" borderId="1" xfId="0" applyNumberFormat="1" applyFont="1" applyFill="1" applyBorder="1" applyAlignment="1">
      <alignment/>
    </xf>
    <xf numFmtId="179" fontId="0" fillId="5" borderId="23" xfId="0" applyNumberFormat="1" applyFill="1" applyBorder="1" applyAlignment="1">
      <alignment horizontal="right"/>
    </xf>
    <xf numFmtId="179" fontId="0" fillId="5" borderId="23" xfId="0" applyNumberFormat="1" applyFill="1" applyBorder="1" applyAlignment="1">
      <alignment/>
    </xf>
    <xf numFmtId="179" fontId="0" fillId="5" borderId="22" xfId="0" applyNumberFormat="1" applyFill="1" applyBorder="1" applyAlignment="1">
      <alignment/>
    </xf>
    <xf numFmtId="179" fontId="0" fillId="5" borderId="24" xfId="0" applyNumberFormat="1" applyFill="1" applyBorder="1" applyAlignment="1">
      <alignment/>
    </xf>
    <xf numFmtId="49" fontId="1" fillId="0" borderId="0" xfId="0" applyNumberFormat="1" applyFont="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179" fontId="1" fillId="0" borderId="0" xfId="0" applyNumberFormat="1" applyFont="1" applyFill="1" applyBorder="1" applyAlignment="1">
      <alignment/>
    </xf>
    <xf numFmtId="179" fontId="19" fillId="0" borderId="0" xfId="0" applyNumberFormat="1" applyFont="1" applyFill="1" applyBorder="1" applyAlignment="1">
      <alignment/>
    </xf>
    <xf numFmtId="179" fontId="18" fillId="0" borderId="0" xfId="0" applyNumberFormat="1" applyFont="1" applyFill="1" applyBorder="1" applyAlignment="1">
      <alignment/>
    </xf>
    <xf numFmtId="179" fontId="0" fillId="0" borderId="0" xfId="0" applyNumberFormat="1" applyFont="1" applyFill="1" applyBorder="1" applyAlignment="1">
      <alignment horizontal="center"/>
    </xf>
    <xf numFmtId="179" fontId="0" fillId="7" borderId="25" xfId="0" applyNumberFormat="1" applyFont="1" applyFill="1" applyBorder="1" applyAlignment="1">
      <alignment/>
    </xf>
    <xf numFmtId="179" fontId="0" fillId="18" borderId="22" xfId="0" applyNumberFormat="1" applyFont="1" applyFill="1" applyBorder="1" applyAlignment="1">
      <alignment horizontal="center"/>
    </xf>
    <xf numFmtId="179" fontId="18" fillId="18" borderId="23" xfId="0" applyNumberFormat="1" applyFont="1" applyFill="1" applyBorder="1" applyAlignment="1">
      <alignment/>
    </xf>
    <xf numFmtId="179" fontId="0" fillId="18" borderId="24" xfId="0" applyNumberFormat="1" applyFont="1" applyFill="1" applyBorder="1" applyAlignment="1">
      <alignment horizontal="center"/>
    </xf>
    <xf numFmtId="179" fontId="0" fillId="7" borderId="23" xfId="0" applyNumberFormat="1" applyFill="1" applyBorder="1" applyAlignment="1">
      <alignment/>
    </xf>
    <xf numFmtId="179" fontId="18" fillId="0" borderId="0" xfId="0" applyNumberFormat="1" applyFont="1" applyFill="1" applyAlignment="1">
      <alignment/>
    </xf>
    <xf numFmtId="179" fontId="0" fillId="0" borderId="0" xfId="0" applyNumberFormat="1" applyFont="1" applyFill="1" applyBorder="1" applyAlignment="1">
      <alignment/>
    </xf>
    <xf numFmtId="179" fontId="0" fillId="0" borderId="27" xfId="0" applyNumberFormat="1" applyFill="1" applyBorder="1" applyAlignment="1">
      <alignment horizontal="center"/>
    </xf>
    <xf numFmtId="179" fontId="0" fillId="0" borderId="27" xfId="0" applyNumberFormat="1" applyFill="1" applyBorder="1" applyAlignment="1">
      <alignment/>
    </xf>
    <xf numFmtId="179" fontId="0" fillId="0" borderId="27" xfId="0" applyNumberFormat="1" applyFill="1" applyBorder="1" applyAlignment="1">
      <alignment horizontal="right"/>
    </xf>
    <xf numFmtId="179" fontId="0" fillId="0" borderId="0" xfId="0" applyNumberFormat="1" applyFill="1" applyBorder="1" applyAlignment="1">
      <alignment/>
    </xf>
    <xf numFmtId="0" fontId="1" fillId="24" borderId="1" xfId="0" applyFont="1" applyFill="1" applyBorder="1" applyAlignment="1">
      <alignment horizontal="center"/>
    </xf>
    <xf numFmtId="179" fontId="27" fillId="0" borderId="0" xfId="0" applyNumberFormat="1" applyFont="1" applyAlignment="1">
      <alignment/>
    </xf>
    <xf numFmtId="0" fontId="0" fillId="18" borderId="28" xfId="0" applyNumberFormat="1" applyFont="1" applyFill="1" applyBorder="1" applyAlignment="1">
      <alignment horizontal="center"/>
    </xf>
    <xf numFmtId="0" fontId="0" fillId="18" borderId="29" xfId="0" applyNumberFormat="1" applyFont="1" applyFill="1" applyBorder="1" applyAlignment="1">
      <alignment horizontal="center"/>
    </xf>
    <xf numFmtId="0"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Font="1" applyBorder="1" applyAlignment="1">
      <alignment horizontal="center"/>
    </xf>
    <xf numFmtId="0" fontId="0" fillId="0" borderId="0" xfId="0" applyNumberFormat="1" applyFont="1" applyFill="1" applyBorder="1" applyAlignment="1">
      <alignment horizontal="center"/>
    </xf>
    <xf numFmtId="0" fontId="0" fillId="0" borderId="30" xfId="0" applyNumberFormat="1" applyFont="1" applyBorder="1" applyAlignment="1">
      <alignment horizontal="center"/>
    </xf>
    <xf numFmtId="0" fontId="0" fillId="0" borderId="29" xfId="0" applyNumberFormat="1" applyFont="1" applyBorder="1" applyAlignment="1">
      <alignment horizontal="center"/>
    </xf>
    <xf numFmtId="0" fontId="0" fillId="0" borderId="31" xfId="0" applyNumberFormat="1" applyFont="1" applyBorder="1" applyAlignment="1">
      <alignment horizontal="center"/>
    </xf>
    <xf numFmtId="0" fontId="0" fillId="0" borderId="32" xfId="0" applyNumberFormat="1" applyFont="1" applyBorder="1" applyAlignment="1">
      <alignment horizontal="center"/>
    </xf>
    <xf numFmtId="0" fontId="0" fillId="18" borderId="32" xfId="0" applyNumberFormat="1" applyFont="1" applyFill="1" applyBorder="1" applyAlignment="1">
      <alignment horizontal="center"/>
    </xf>
    <xf numFmtId="188" fontId="0" fillId="0" borderId="0" xfId="0" applyNumberFormat="1" applyFont="1" applyFill="1" applyBorder="1" applyAlignment="1">
      <alignment/>
    </xf>
    <xf numFmtId="188" fontId="0" fillId="0" borderId="0" xfId="0" applyNumberFormat="1" applyFont="1" applyBorder="1" applyAlignment="1">
      <alignment/>
    </xf>
    <xf numFmtId="188" fontId="0" fillId="25" borderId="3" xfId="0" applyNumberFormat="1" applyFont="1" applyFill="1" applyBorder="1" applyAlignment="1">
      <alignment/>
    </xf>
    <xf numFmtId="188" fontId="0" fillId="11" borderId="0" xfId="0" applyNumberFormat="1" applyFont="1" applyFill="1" applyBorder="1" applyAlignment="1">
      <alignment/>
    </xf>
    <xf numFmtId="188" fontId="0" fillId="0" borderId="30" xfId="0" applyNumberFormat="1" applyFont="1" applyFill="1" applyBorder="1" applyAlignment="1">
      <alignment/>
    </xf>
    <xf numFmtId="188" fontId="0" fillId="25" borderId="33" xfId="0" applyNumberFormat="1" applyFont="1" applyFill="1" applyBorder="1" applyAlignment="1">
      <alignment/>
    </xf>
    <xf numFmtId="188" fontId="0" fillId="26" borderId="30" xfId="0" applyNumberFormat="1" applyFont="1" applyFill="1" applyBorder="1" applyAlignment="1">
      <alignment/>
    </xf>
    <xf numFmtId="188" fontId="0" fillId="0" borderId="34" xfId="0" applyNumberFormat="1" applyFont="1" applyFill="1" applyBorder="1" applyAlignment="1">
      <alignment/>
    </xf>
    <xf numFmtId="188" fontId="1" fillId="0" borderId="0" xfId="0" applyNumberFormat="1" applyFont="1" applyBorder="1" applyAlignment="1">
      <alignment/>
    </xf>
    <xf numFmtId="188" fontId="1" fillId="0" borderId="35" xfId="0" applyNumberFormat="1" applyFont="1" applyBorder="1" applyAlignment="1">
      <alignment/>
    </xf>
    <xf numFmtId="188" fontId="1" fillId="0" borderId="0" xfId="0" applyNumberFormat="1" applyFont="1" applyFill="1" applyBorder="1" applyAlignment="1">
      <alignment/>
    </xf>
    <xf numFmtId="188" fontId="34" fillId="12" borderId="0" xfId="0" applyNumberFormat="1" applyFont="1" applyFill="1" applyBorder="1" applyAlignment="1">
      <alignment/>
    </xf>
    <xf numFmtId="188" fontId="34" fillId="12" borderId="31" xfId="0" applyNumberFormat="1" applyFont="1" applyFill="1" applyBorder="1" applyAlignment="1">
      <alignment/>
    </xf>
    <xf numFmtId="188" fontId="34" fillId="12" borderId="36" xfId="0" applyNumberFormat="1" applyFont="1" applyFill="1" applyBorder="1" applyAlignment="1">
      <alignment/>
    </xf>
    <xf numFmtId="0" fontId="0" fillId="11" borderId="29" xfId="0" applyNumberFormat="1" applyFont="1" applyFill="1" applyBorder="1" applyAlignment="1">
      <alignment horizontal="center"/>
    </xf>
    <xf numFmtId="0" fontId="37" fillId="6" borderId="29" xfId="0" applyNumberFormat="1" applyFont="1" applyFill="1" applyBorder="1" applyAlignment="1">
      <alignment horizontal="center"/>
    </xf>
    <xf numFmtId="188" fontId="25" fillId="27" borderId="3" xfId="0" applyNumberFormat="1" applyFont="1" applyFill="1" applyBorder="1" applyAlignment="1">
      <alignment/>
    </xf>
    <xf numFmtId="188" fontId="25" fillId="27" borderId="0" xfId="0" applyNumberFormat="1" applyFont="1" applyFill="1" applyBorder="1" applyAlignment="1">
      <alignment/>
    </xf>
    <xf numFmtId="188" fontId="1" fillId="11" borderId="0" xfId="0" applyNumberFormat="1" applyFont="1" applyFill="1" applyBorder="1" applyAlignment="1">
      <alignment/>
    </xf>
    <xf numFmtId="188" fontId="25" fillId="27" borderId="37" xfId="0" applyNumberFormat="1" applyFont="1" applyFill="1" applyBorder="1" applyAlignment="1">
      <alignment/>
    </xf>
    <xf numFmtId="188" fontId="38" fillId="12" borderId="38" xfId="0" applyNumberFormat="1" applyFont="1" applyFill="1" applyBorder="1" applyAlignment="1">
      <alignment/>
    </xf>
    <xf numFmtId="188" fontId="38" fillId="12" borderId="39" xfId="0" applyNumberFormat="1" applyFont="1" applyFill="1" applyBorder="1" applyAlignment="1">
      <alignment/>
    </xf>
    <xf numFmtId="188" fontId="29" fillId="25" borderId="3" xfId="0" applyNumberFormat="1" applyFont="1" applyFill="1" applyBorder="1" applyAlignment="1">
      <alignment/>
    </xf>
    <xf numFmtId="188" fontId="1" fillId="0" borderId="35" xfId="0" applyNumberFormat="1" applyFont="1" applyFill="1" applyBorder="1" applyAlignment="1">
      <alignment/>
    </xf>
    <xf numFmtId="188" fontId="1" fillId="0" borderId="30" xfId="0" applyNumberFormat="1" applyFont="1" applyFill="1" applyBorder="1" applyAlignment="1">
      <alignment/>
    </xf>
    <xf numFmtId="188" fontId="1" fillId="6" borderId="35" xfId="0" applyNumberFormat="1" applyFont="1" applyFill="1" applyBorder="1" applyAlignment="1">
      <alignment/>
    </xf>
    <xf numFmtId="188" fontId="25" fillId="27" borderId="35" xfId="0" applyNumberFormat="1" applyFont="1" applyFill="1" applyBorder="1" applyAlignment="1">
      <alignment/>
    </xf>
    <xf numFmtId="188" fontId="25" fillId="27" borderId="40" xfId="0" applyNumberFormat="1" applyFont="1" applyFill="1" applyBorder="1" applyAlignment="1">
      <alignment/>
    </xf>
    <xf numFmtId="188" fontId="0" fillId="6" borderId="0" xfId="0" applyNumberFormat="1" applyFont="1" applyFill="1" applyBorder="1" applyAlignment="1">
      <alignment/>
    </xf>
    <xf numFmtId="188" fontId="0" fillId="6" borderId="3" xfId="0" applyNumberFormat="1" applyFont="1" applyFill="1" applyBorder="1" applyAlignment="1">
      <alignment/>
    </xf>
    <xf numFmtId="188" fontId="22" fillId="0" borderId="0" xfId="0" applyNumberFormat="1" applyFont="1" applyFill="1" applyBorder="1" applyAlignment="1">
      <alignment/>
    </xf>
    <xf numFmtId="188" fontId="39" fillId="0" borderId="0" xfId="0" applyNumberFormat="1"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8" fontId="38" fillId="12" borderId="41" xfId="0" applyNumberFormat="1" applyFont="1" applyFill="1" applyBorder="1" applyAlignment="1">
      <alignment/>
    </xf>
    <xf numFmtId="188" fontId="38" fillId="12" borderId="42" xfId="0" applyNumberFormat="1" applyFont="1" applyFill="1" applyBorder="1" applyAlignment="1">
      <alignment/>
    </xf>
    <xf numFmtId="188" fontId="1" fillId="6" borderId="0" xfId="0" applyNumberFormat="1" applyFont="1" applyFill="1" applyBorder="1" applyAlignment="1">
      <alignment/>
    </xf>
    <xf numFmtId="188" fontId="0" fillId="26" borderId="43" xfId="0" applyNumberFormat="1" applyFont="1" applyFill="1" applyBorder="1" applyAlignment="1">
      <alignment/>
    </xf>
    <xf numFmtId="188" fontId="0" fillId="0" borderId="44" xfId="0" applyNumberFormat="1" applyFont="1" applyFill="1" applyBorder="1" applyAlignment="1">
      <alignment/>
    </xf>
    <xf numFmtId="188" fontId="0" fillId="26" borderId="44" xfId="0" applyNumberFormat="1" applyFont="1" applyFill="1" applyBorder="1" applyAlignment="1">
      <alignment/>
    </xf>
    <xf numFmtId="188" fontId="30" fillId="0" borderId="44" xfId="0" applyNumberFormat="1" applyFont="1" applyFill="1" applyBorder="1" applyAlignment="1">
      <alignment/>
    </xf>
    <xf numFmtId="188" fontId="30" fillId="0" borderId="44" xfId="0" applyNumberFormat="1" applyFont="1" applyBorder="1" applyAlignment="1">
      <alignment/>
    </xf>
    <xf numFmtId="188" fontId="15" fillId="0" borderId="44" xfId="0" applyNumberFormat="1" applyFont="1" applyBorder="1" applyAlignment="1">
      <alignment/>
    </xf>
    <xf numFmtId="188" fontId="0" fillId="0" borderId="44" xfId="0" applyNumberFormat="1" applyFont="1" applyBorder="1" applyAlignment="1">
      <alignment/>
    </xf>
    <xf numFmtId="188" fontId="0" fillId="26" borderId="45" xfId="0" applyNumberFormat="1" applyFont="1" applyFill="1" applyBorder="1" applyAlignment="1">
      <alignment/>
    </xf>
    <xf numFmtId="188" fontId="0" fillId="26" borderId="35" xfId="0" applyNumberFormat="1" applyFont="1" applyFill="1" applyBorder="1" applyAlignment="1">
      <alignment/>
    </xf>
    <xf numFmtId="188" fontId="0" fillId="26" borderId="0" xfId="0" applyNumberFormat="1" applyFont="1" applyFill="1" applyBorder="1" applyAlignment="1">
      <alignment/>
    </xf>
    <xf numFmtId="188" fontId="31" fillId="0" borderId="0" xfId="0" applyNumberFormat="1" applyFont="1" applyFill="1" applyBorder="1" applyAlignment="1">
      <alignment/>
    </xf>
    <xf numFmtId="188" fontId="31" fillId="0" borderId="0" xfId="0" applyNumberFormat="1" applyFont="1" applyBorder="1" applyAlignment="1">
      <alignment/>
    </xf>
    <xf numFmtId="188" fontId="15" fillId="0" borderId="0" xfId="0" applyNumberFormat="1" applyFont="1" applyBorder="1" applyAlignment="1">
      <alignment/>
    </xf>
    <xf numFmtId="188" fontId="35" fillId="12" borderId="0" xfId="0" applyNumberFormat="1" applyFont="1" applyFill="1" applyBorder="1" applyAlignment="1">
      <alignment/>
    </xf>
    <xf numFmtId="188" fontId="0" fillId="26" borderId="31" xfId="0" applyNumberFormat="1" applyFont="1" applyFill="1" applyBorder="1" applyAlignment="1">
      <alignment/>
    </xf>
    <xf numFmtId="188" fontId="29" fillId="0" borderId="0" xfId="0" applyNumberFormat="1" applyFont="1" applyFill="1" applyBorder="1" applyAlignment="1">
      <alignment/>
    </xf>
    <xf numFmtId="188" fontId="29" fillId="0" borderId="0" xfId="0" applyNumberFormat="1" applyFont="1" applyBorder="1" applyAlignment="1">
      <alignment/>
    </xf>
    <xf numFmtId="188" fontId="33" fillId="12" borderId="0" xfId="0" applyNumberFormat="1" applyFont="1" applyFill="1" applyBorder="1" applyAlignment="1">
      <alignment/>
    </xf>
    <xf numFmtId="188" fontId="40" fillId="0" borderId="0" xfId="0" applyNumberFormat="1" applyFont="1" applyBorder="1" applyAlignment="1">
      <alignment/>
    </xf>
    <xf numFmtId="188" fontId="20" fillId="0" borderId="44" xfId="0" applyNumberFormat="1" applyFont="1" applyBorder="1" applyAlignment="1">
      <alignment/>
    </xf>
    <xf numFmtId="188" fontId="41" fillId="0" borderId="0" xfId="0" applyNumberFormat="1" applyFont="1" applyBorder="1" applyAlignment="1">
      <alignment/>
    </xf>
    <xf numFmtId="188" fontId="25" fillId="27" borderId="46" xfId="0" applyNumberFormat="1" applyFont="1" applyFill="1" applyBorder="1" applyAlignment="1">
      <alignment/>
    </xf>
    <xf numFmtId="188" fontId="25" fillId="27" borderId="47" xfId="0" applyNumberFormat="1" applyFont="1" applyFill="1" applyBorder="1" applyAlignment="1">
      <alignment/>
    </xf>
    <xf numFmtId="188" fontId="25" fillId="27" borderId="48" xfId="0" applyNumberFormat="1" applyFont="1" applyFill="1" applyBorder="1" applyAlignment="1">
      <alignment/>
    </xf>
    <xf numFmtId="188" fontId="25" fillId="27" borderId="49" xfId="0" applyNumberFormat="1" applyFont="1" applyFill="1" applyBorder="1" applyAlignment="1">
      <alignment/>
    </xf>
    <xf numFmtId="188" fontId="33" fillId="12" borderId="50" xfId="0" applyNumberFormat="1" applyFont="1" applyFill="1" applyBorder="1" applyAlignment="1">
      <alignment/>
    </xf>
    <xf numFmtId="188" fontId="36" fillId="12" borderId="51" xfId="0" applyNumberFormat="1" applyFont="1" applyFill="1" applyBorder="1" applyAlignment="1">
      <alignment/>
    </xf>
    <xf numFmtId="188" fontId="35" fillId="12" borderId="52" xfId="0" applyNumberFormat="1" applyFont="1" applyFill="1" applyBorder="1" applyAlignment="1">
      <alignment/>
    </xf>
    <xf numFmtId="188" fontId="40" fillId="0" borderId="53" xfId="0" applyNumberFormat="1" applyFont="1" applyBorder="1" applyAlignment="1">
      <alignment/>
    </xf>
    <xf numFmtId="188" fontId="29" fillId="0" borderId="54" xfId="0" applyNumberFormat="1" applyFont="1" applyBorder="1" applyAlignment="1">
      <alignment/>
    </xf>
    <xf numFmtId="188" fontId="40" fillId="0" borderId="55" xfId="0" applyNumberFormat="1" applyFont="1" applyBorder="1" applyAlignment="1">
      <alignment/>
    </xf>
    <xf numFmtId="188" fontId="25" fillId="27" borderId="56" xfId="0" applyNumberFormat="1" applyFont="1" applyFill="1" applyBorder="1" applyAlignment="1">
      <alignment/>
    </xf>
    <xf numFmtId="188" fontId="41" fillId="0" borderId="57" xfId="0" applyNumberFormat="1" applyFont="1" applyBorder="1" applyAlignment="1">
      <alignment/>
    </xf>
    <xf numFmtId="188" fontId="31" fillId="0" borderId="58" xfId="0" applyNumberFormat="1" applyFont="1" applyBorder="1" applyAlignment="1">
      <alignment/>
    </xf>
    <xf numFmtId="188" fontId="41" fillId="0" borderId="59" xfId="0" applyNumberFormat="1" applyFont="1" applyBorder="1" applyAlignment="1">
      <alignment/>
    </xf>
    <xf numFmtId="188" fontId="41" fillId="0" borderId="60" xfId="0" applyNumberFormat="1" applyFont="1" applyBorder="1" applyAlignment="1">
      <alignment/>
    </xf>
    <xf numFmtId="188" fontId="31" fillId="0" borderId="61" xfId="0" applyNumberFormat="1" applyFont="1" applyBorder="1" applyAlignment="1">
      <alignment/>
    </xf>
    <xf numFmtId="188" fontId="41" fillId="0" borderId="62" xfId="0" applyNumberFormat="1" applyFont="1" applyBorder="1" applyAlignment="1">
      <alignment/>
    </xf>
    <xf numFmtId="188" fontId="31" fillId="25" borderId="3" xfId="0" applyNumberFormat="1" applyFont="1" applyFill="1" applyBorder="1" applyAlignment="1">
      <alignment/>
    </xf>
    <xf numFmtId="188" fontId="32" fillId="25" borderId="63" xfId="0" applyNumberFormat="1" applyFont="1" applyFill="1" applyBorder="1" applyAlignment="1">
      <alignment/>
    </xf>
    <xf numFmtId="179" fontId="0" fillId="0" borderId="0" xfId="0" applyNumberFormat="1" applyAlignment="1">
      <alignment/>
    </xf>
    <xf numFmtId="179" fontId="0" fillId="0" borderId="64" xfId="0" applyNumberFormat="1" applyBorder="1" applyAlignment="1">
      <alignment/>
    </xf>
    <xf numFmtId="0" fontId="7" fillId="0" borderId="0" xfId="0" applyFont="1" applyAlignment="1">
      <alignment horizontal="left"/>
    </xf>
    <xf numFmtId="188" fontId="1" fillId="6" borderId="3" xfId="0" applyNumberFormat="1" applyFont="1" applyFill="1" applyBorder="1" applyAlignment="1">
      <alignment/>
    </xf>
    <xf numFmtId="0" fontId="2" fillId="28" borderId="2" xfId="0" applyFont="1" applyFill="1" applyBorder="1" applyAlignment="1">
      <alignment horizontal="center"/>
    </xf>
    <xf numFmtId="0" fontId="0" fillId="28" borderId="3" xfId="0" applyFill="1" applyBorder="1" applyAlignment="1">
      <alignment horizontal="center"/>
    </xf>
    <xf numFmtId="0" fontId="2" fillId="28" borderId="6" xfId="0" applyFont="1" applyFill="1" applyBorder="1" applyAlignment="1">
      <alignment horizontal="center"/>
    </xf>
    <xf numFmtId="175" fontId="0" fillId="0" borderId="0" xfId="0" applyNumberFormat="1" applyFont="1" applyAlignment="1">
      <alignment horizontal="center"/>
    </xf>
    <xf numFmtId="0" fontId="2" fillId="5" borderId="2" xfId="0" applyFont="1" applyFill="1" applyBorder="1" applyAlignment="1">
      <alignment horizontal="center"/>
    </xf>
    <xf numFmtId="0" fontId="0" fillId="5" borderId="3" xfId="0" applyFill="1" applyBorder="1" applyAlignment="1">
      <alignment horizontal="center"/>
    </xf>
    <xf numFmtId="0" fontId="2" fillId="5" borderId="6" xfId="0" applyFont="1" applyFill="1" applyBorder="1" applyAlignment="1">
      <alignment horizontal="center"/>
    </xf>
    <xf numFmtId="175" fontId="26" fillId="2" borderId="0" xfId="0" applyNumberFormat="1" applyFont="1" applyFill="1" applyAlignment="1">
      <alignment horizontal="center"/>
    </xf>
    <xf numFmtId="175" fontId="0" fillId="2" borderId="0" xfId="0" applyNumberFormat="1" applyFont="1" applyFill="1" applyAlignment="1">
      <alignment horizontal="center"/>
    </xf>
    <xf numFmtId="190" fontId="0" fillId="0" borderId="0" xfId="0" applyNumberFormat="1" applyAlignment="1">
      <alignment/>
    </xf>
    <xf numFmtId="0" fontId="0" fillId="0" borderId="3" xfId="0" applyFont="1" applyFill="1" applyBorder="1" applyAlignment="1">
      <alignment/>
    </xf>
    <xf numFmtId="185" fontId="0" fillId="0" borderId="0" xfId="0" applyNumberFormat="1" applyAlignment="1">
      <alignment/>
    </xf>
    <xf numFmtId="191" fontId="0" fillId="26" borderId="43" xfId="0" applyNumberFormat="1" applyFont="1" applyFill="1" applyBorder="1" applyAlignment="1">
      <alignment/>
    </xf>
    <xf numFmtId="191" fontId="0" fillId="0" borderId="44" xfId="0" applyNumberFormat="1" applyFont="1" applyFill="1" applyBorder="1" applyAlignment="1">
      <alignment/>
    </xf>
    <xf numFmtId="191" fontId="0" fillId="26" borderId="44" xfId="0" applyNumberFormat="1" applyFont="1" applyFill="1" applyBorder="1" applyAlignment="1">
      <alignment/>
    </xf>
    <xf numFmtId="191" fontId="30" fillId="0" borderId="44" xfId="0" applyNumberFormat="1" applyFont="1" applyFill="1" applyBorder="1" applyAlignment="1">
      <alignment/>
    </xf>
    <xf numFmtId="191" fontId="20" fillId="0" borderId="44" xfId="0" applyNumberFormat="1" applyFont="1" applyBorder="1" applyAlignment="1">
      <alignment/>
    </xf>
    <xf numFmtId="191" fontId="30" fillId="0" borderId="44" xfId="0" applyNumberFormat="1" applyFont="1" applyBorder="1" applyAlignment="1">
      <alignment/>
    </xf>
    <xf numFmtId="191" fontId="32" fillId="25" borderId="63" xfId="0" applyNumberFormat="1" applyFont="1" applyFill="1" applyBorder="1" applyAlignment="1">
      <alignment/>
    </xf>
    <xf numFmtId="191" fontId="15" fillId="0" borderId="44" xfId="0" applyNumberFormat="1" applyFont="1" applyBorder="1" applyAlignment="1">
      <alignment/>
    </xf>
    <xf numFmtId="191" fontId="36" fillId="12" borderId="51" xfId="0" applyNumberFormat="1" applyFont="1" applyFill="1" applyBorder="1" applyAlignment="1">
      <alignment/>
    </xf>
    <xf numFmtId="191" fontId="0" fillId="0" borderId="44" xfId="0" applyNumberFormat="1" applyFont="1" applyBorder="1" applyAlignment="1">
      <alignment/>
    </xf>
    <xf numFmtId="191" fontId="0" fillId="26" borderId="45" xfId="0" applyNumberFormat="1" applyFont="1" applyFill="1" applyBorder="1" applyAlignment="1">
      <alignment/>
    </xf>
    <xf numFmtId="191" fontId="0" fillId="26" borderId="35" xfId="0" applyNumberFormat="1" applyFont="1" applyFill="1" applyBorder="1" applyAlignment="1">
      <alignment/>
    </xf>
    <xf numFmtId="191" fontId="0" fillId="0" borderId="0" xfId="0" applyNumberFormat="1" applyFont="1" applyFill="1" applyBorder="1" applyAlignment="1">
      <alignment/>
    </xf>
    <xf numFmtId="191" fontId="0" fillId="26" borderId="0" xfId="0" applyNumberFormat="1" applyFont="1" applyFill="1" applyBorder="1" applyAlignment="1">
      <alignment/>
    </xf>
    <xf numFmtId="191" fontId="31" fillId="0" borderId="0" xfId="0" applyNumberFormat="1" applyFont="1" applyFill="1" applyBorder="1" applyAlignment="1">
      <alignment/>
    </xf>
    <xf numFmtId="191" fontId="41" fillId="0" borderId="0" xfId="0" applyNumberFormat="1" applyFont="1" applyBorder="1" applyAlignment="1">
      <alignment/>
    </xf>
    <xf numFmtId="191" fontId="31" fillId="0" borderId="0" xfId="0" applyNumberFormat="1" applyFont="1" applyBorder="1" applyAlignment="1">
      <alignment/>
    </xf>
    <xf numFmtId="191" fontId="31" fillId="25" borderId="3" xfId="0" applyNumberFormat="1" applyFont="1" applyFill="1" applyBorder="1" applyAlignment="1">
      <alignment/>
    </xf>
    <xf numFmtId="191" fontId="41" fillId="0" borderId="57" xfId="0" applyNumberFormat="1" applyFont="1" applyBorder="1" applyAlignment="1">
      <alignment/>
    </xf>
    <xf numFmtId="191" fontId="31" fillId="0" borderId="58" xfId="0" applyNumberFormat="1" applyFont="1" applyBorder="1" applyAlignment="1">
      <alignment/>
    </xf>
    <xf numFmtId="191" fontId="41" fillId="0" borderId="59" xfId="0" applyNumberFormat="1" applyFont="1" applyBorder="1" applyAlignment="1">
      <alignment/>
    </xf>
    <xf numFmtId="191" fontId="15" fillId="0" borderId="0" xfId="0" applyNumberFormat="1" applyFont="1" applyBorder="1" applyAlignment="1">
      <alignment/>
    </xf>
    <xf numFmtId="191" fontId="35" fillId="12" borderId="0" xfId="0" applyNumberFormat="1" applyFont="1" applyFill="1" applyBorder="1" applyAlignment="1">
      <alignment/>
    </xf>
    <xf numFmtId="191" fontId="15" fillId="0" borderId="0" xfId="0" applyNumberFormat="1" applyFont="1" applyFill="1" applyBorder="1" applyAlignment="1">
      <alignment/>
    </xf>
    <xf numFmtId="191" fontId="0" fillId="26" borderId="31" xfId="0" applyNumberFormat="1" applyFont="1" applyFill="1" applyBorder="1" applyAlignment="1">
      <alignment/>
    </xf>
    <xf numFmtId="191" fontId="25" fillId="27" borderId="48" xfId="0" applyNumberFormat="1" applyFont="1" applyFill="1" applyBorder="1" applyAlignment="1">
      <alignment/>
    </xf>
    <xf numFmtId="191" fontId="25" fillId="27" borderId="49" xfId="0" applyNumberFormat="1" applyFont="1" applyFill="1" applyBorder="1" applyAlignment="1">
      <alignment/>
    </xf>
    <xf numFmtId="191" fontId="41" fillId="0" borderId="60" xfId="0" applyNumberFormat="1" applyFont="1" applyBorder="1" applyAlignment="1">
      <alignment/>
    </xf>
    <xf numFmtId="191" fontId="31" fillId="0" borderId="61" xfId="0" applyNumberFormat="1" applyFont="1" applyBorder="1" applyAlignment="1">
      <alignment/>
    </xf>
    <xf numFmtId="191" fontId="41" fillId="0" borderId="62" xfId="0" applyNumberFormat="1" applyFont="1" applyBorder="1" applyAlignment="1">
      <alignment/>
    </xf>
    <xf numFmtId="191" fontId="25" fillId="27" borderId="3" xfId="0" applyNumberFormat="1" applyFont="1" applyFill="1" applyBorder="1" applyAlignment="1">
      <alignment/>
    </xf>
    <xf numFmtId="191" fontId="25" fillId="27" borderId="56" xfId="0" applyNumberFormat="1" applyFont="1" applyFill="1" applyBorder="1" applyAlignment="1">
      <alignment/>
    </xf>
    <xf numFmtId="191" fontId="35" fillId="12" borderId="52" xfId="0" applyNumberFormat="1" applyFont="1" applyFill="1" applyBorder="1" applyAlignment="1">
      <alignment/>
    </xf>
    <xf numFmtId="191" fontId="29" fillId="0" borderId="0" xfId="0" applyNumberFormat="1" applyFont="1" applyFill="1" applyBorder="1" applyAlignment="1">
      <alignment/>
    </xf>
    <xf numFmtId="191" fontId="40" fillId="0" borderId="0" xfId="0" applyNumberFormat="1" applyFont="1" applyBorder="1" applyAlignment="1">
      <alignment/>
    </xf>
    <xf numFmtId="191" fontId="29" fillId="0" borderId="0" xfId="0" applyNumberFormat="1" applyFont="1" applyBorder="1" applyAlignment="1">
      <alignment/>
    </xf>
    <xf numFmtId="191" fontId="29" fillId="25" borderId="3" xfId="0" applyNumberFormat="1" applyFont="1" applyFill="1" applyBorder="1" applyAlignment="1">
      <alignment/>
    </xf>
    <xf numFmtId="191" fontId="33" fillId="12" borderId="0" xfId="0" applyNumberFormat="1" applyFont="1" applyFill="1" applyBorder="1" applyAlignment="1">
      <alignment/>
    </xf>
    <xf numFmtId="191" fontId="25" fillId="27" borderId="46" xfId="0" applyNumberFormat="1" applyFont="1" applyFill="1" applyBorder="1" applyAlignment="1">
      <alignment/>
    </xf>
    <xf numFmtId="191" fontId="25" fillId="27" borderId="47" xfId="0" applyNumberFormat="1" applyFont="1" applyFill="1" applyBorder="1" applyAlignment="1">
      <alignment/>
    </xf>
    <xf numFmtId="191" fontId="40" fillId="0" borderId="53" xfId="0" applyNumberFormat="1" applyFont="1" applyBorder="1" applyAlignment="1">
      <alignment/>
    </xf>
    <xf numFmtId="191" fontId="29" fillId="0" borderId="54" xfId="0" applyNumberFormat="1" applyFont="1" applyBorder="1" applyAlignment="1">
      <alignment/>
    </xf>
    <xf numFmtId="191" fontId="40" fillId="0" borderId="55" xfId="0" applyNumberFormat="1" applyFont="1" applyBorder="1" applyAlignment="1">
      <alignment/>
    </xf>
    <xf numFmtId="191" fontId="33" fillId="12" borderId="50" xfId="0" applyNumberFormat="1" applyFont="1" applyFill="1" applyBorder="1" applyAlignment="1">
      <alignment/>
    </xf>
    <xf numFmtId="191" fontId="1" fillId="0" borderId="0" xfId="0" applyNumberFormat="1" applyFont="1" applyBorder="1" applyAlignment="1">
      <alignment/>
    </xf>
    <xf numFmtId="191" fontId="0" fillId="0" borderId="0" xfId="0" applyNumberFormat="1" applyFont="1" applyBorder="1" applyAlignment="1">
      <alignment/>
    </xf>
    <xf numFmtId="191" fontId="25" fillId="27" borderId="0" xfId="0" applyNumberFormat="1" applyFont="1" applyFill="1" applyBorder="1" applyAlignment="1">
      <alignment/>
    </xf>
    <xf numFmtId="191" fontId="34" fillId="12" borderId="0" xfId="0" applyNumberFormat="1" applyFont="1" applyFill="1" applyBorder="1" applyAlignment="1">
      <alignment/>
    </xf>
    <xf numFmtId="191" fontId="34" fillId="12" borderId="31" xfId="0" applyNumberFormat="1" applyFont="1" applyFill="1" applyBorder="1" applyAlignment="1">
      <alignment/>
    </xf>
    <xf numFmtId="191" fontId="0" fillId="25" borderId="3" xfId="0" applyNumberFormat="1" applyFont="1" applyFill="1" applyBorder="1" applyAlignment="1">
      <alignment/>
    </xf>
    <xf numFmtId="191" fontId="25" fillId="27" borderId="35" xfId="0" applyNumberFormat="1" applyFont="1" applyFill="1" applyBorder="1" applyAlignment="1">
      <alignment/>
    </xf>
    <xf numFmtId="191" fontId="34" fillId="12" borderId="65" xfId="0" applyNumberFormat="1" applyFont="1" applyFill="1" applyBorder="1" applyAlignment="1">
      <alignment/>
    </xf>
    <xf numFmtId="191" fontId="1" fillId="6" borderId="0" xfId="0" applyNumberFormat="1" applyFont="1" applyFill="1" applyBorder="1" applyAlignment="1">
      <alignment/>
    </xf>
    <xf numFmtId="191" fontId="39" fillId="0" borderId="0" xfId="0" applyNumberFormat="1" applyFont="1" applyFill="1" applyBorder="1" applyAlignment="1">
      <alignment/>
    </xf>
    <xf numFmtId="191" fontId="0" fillId="6" borderId="0" xfId="0" applyNumberFormat="1" applyFont="1" applyFill="1" applyBorder="1" applyAlignment="1">
      <alignment/>
    </xf>
    <xf numFmtId="191" fontId="0" fillId="6" borderId="3" xfId="0" applyNumberFormat="1" applyFont="1" applyFill="1" applyBorder="1" applyAlignment="1">
      <alignment/>
    </xf>
    <xf numFmtId="191" fontId="38" fillId="12" borderId="41" xfId="0" applyNumberFormat="1" applyFont="1" applyFill="1" applyBorder="1" applyAlignment="1">
      <alignment/>
    </xf>
    <xf numFmtId="191" fontId="38" fillId="12" borderId="42" xfId="0" applyNumberFormat="1" applyFont="1" applyFill="1" applyBorder="1" applyAlignment="1">
      <alignment/>
    </xf>
    <xf numFmtId="191" fontId="34" fillId="12" borderId="66" xfId="0" applyNumberFormat="1" applyFont="1" applyFill="1" applyBorder="1" applyAlignment="1">
      <alignment/>
    </xf>
    <xf numFmtId="191" fontId="34" fillId="12" borderId="67" xfId="0" applyNumberFormat="1" applyFont="1" applyFill="1" applyBorder="1" applyAlignment="1">
      <alignment/>
    </xf>
    <xf numFmtId="191" fontId="42" fillId="27" borderId="40" xfId="0" applyNumberFormat="1" applyFont="1" applyFill="1" applyBorder="1" applyAlignment="1">
      <alignment/>
    </xf>
    <xf numFmtId="191" fontId="22" fillId="0" borderId="0" xfId="0" applyNumberFormat="1" applyFont="1" applyFill="1" applyBorder="1" applyAlignment="1">
      <alignment/>
    </xf>
    <xf numFmtId="191" fontId="0" fillId="11" borderId="0" xfId="0" applyNumberFormat="1" applyFont="1" applyFill="1" applyBorder="1" applyAlignment="1">
      <alignment/>
    </xf>
    <xf numFmtId="191" fontId="25" fillId="27" borderId="37" xfId="0" applyNumberFormat="1" applyFont="1" applyFill="1" applyBorder="1" applyAlignment="1">
      <alignment/>
    </xf>
    <xf numFmtId="191" fontId="1" fillId="11" borderId="0" xfId="0" applyNumberFormat="1" applyFont="1" applyFill="1" applyBorder="1" applyAlignment="1">
      <alignment/>
    </xf>
    <xf numFmtId="191" fontId="38" fillId="12" borderId="38" xfId="0" applyNumberFormat="1" applyFont="1" applyFill="1" applyBorder="1" applyAlignment="1">
      <alignment/>
    </xf>
    <xf numFmtId="191" fontId="38" fillId="12" borderId="39" xfId="0" applyNumberFormat="1" applyFont="1" applyFill="1" applyBorder="1" applyAlignment="1">
      <alignment/>
    </xf>
    <xf numFmtId="191" fontId="34" fillId="12" borderId="68" xfId="0" applyNumberFormat="1" applyFont="1" applyFill="1" applyBorder="1" applyAlignment="1">
      <alignment/>
    </xf>
    <xf numFmtId="191" fontId="34" fillId="12" borderId="69" xfId="0" applyNumberFormat="1" applyFont="1" applyFill="1" applyBorder="1" applyAlignment="1">
      <alignment/>
    </xf>
    <xf numFmtId="191" fontId="0" fillId="0" borderId="34" xfId="0" applyNumberFormat="1" applyFont="1" applyBorder="1" applyAlignment="1">
      <alignment/>
    </xf>
    <xf numFmtId="191" fontId="0" fillId="0" borderId="30" xfId="0" applyNumberFormat="1" applyFont="1" applyFill="1" applyBorder="1" applyAlignment="1">
      <alignment/>
    </xf>
    <xf numFmtId="191" fontId="0" fillId="0" borderId="30" xfId="0" applyNumberFormat="1" applyFont="1" applyBorder="1" applyAlignment="1">
      <alignment/>
    </xf>
    <xf numFmtId="191" fontId="0" fillId="25" borderId="33" xfId="0" applyNumberFormat="1" applyFont="1" applyFill="1" applyBorder="1" applyAlignment="1">
      <alignment/>
    </xf>
    <xf numFmtId="191" fontId="1" fillId="0" borderId="30" xfId="0" applyNumberFormat="1" applyFont="1" applyBorder="1" applyAlignment="1">
      <alignment/>
    </xf>
    <xf numFmtId="191" fontId="0" fillId="26" borderId="30" xfId="0" applyNumberFormat="1" applyFont="1" applyFill="1" applyBorder="1" applyAlignment="1">
      <alignment/>
    </xf>
    <xf numFmtId="191" fontId="15" fillId="0" borderId="30" xfId="0" applyNumberFormat="1" applyFont="1" applyFill="1" applyBorder="1" applyAlignment="1">
      <alignment/>
    </xf>
    <xf numFmtId="191" fontId="34" fillId="12" borderId="70" xfId="0" applyNumberFormat="1" applyFont="1" applyFill="1" applyBorder="1" applyAlignment="1">
      <alignment/>
    </xf>
    <xf numFmtId="191" fontId="1" fillId="0" borderId="35" xfId="0" applyNumberFormat="1" applyFont="1" applyBorder="1" applyAlignment="1">
      <alignment/>
    </xf>
    <xf numFmtId="191" fontId="1" fillId="6" borderId="35" xfId="0" applyNumberFormat="1" applyFont="1" applyFill="1" applyBorder="1" applyAlignment="1">
      <alignment/>
    </xf>
    <xf numFmtId="191" fontId="1" fillId="0" borderId="35" xfId="0" applyNumberFormat="1" applyFont="1" applyFill="1" applyBorder="1" applyAlignment="1">
      <alignment/>
    </xf>
    <xf numFmtId="191" fontId="1" fillId="0" borderId="0" xfId="0" applyNumberFormat="1" applyFont="1" applyFill="1" applyBorder="1" applyAlignment="1">
      <alignment/>
    </xf>
    <xf numFmtId="191" fontId="25" fillId="27" borderId="40" xfId="0" applyNumberFormat="1" applyFont="1" applyFill="1" applyBorder="1" applyAlignment="1">
      <alignment/>
    </xf>
    <xf numFmtId="191" fontId="0" fillId="0" borderId="34" xfId="0" applyNumberFormat="1" applyFont="1" applyFill="1" applyBorder="1" applyAlignment="1">
      <alignment/>
    </xf>
    <xf numFmtId="191" fontId="1" fillId="0" borderId="30" xfId="0" applyNumberFormat="1" applyFont="1" applyFill="1" applyBorder="1" applyAlignment="1">
      <alignment/>
    </xf>
    <xf numFmtId="191" fontId="34" fillId="12" borderId="36" xfId="0" applyNumberFormat="1" applyFont="1" applyFill="1" applyBorder="1" applyAlignment="1">
      <alignment/>
    </xf>
    <xf numFmtId="179" fontId="0" fillId="0" borderId="13" xfId="0" applyNumberFormat="1" applyBorder="1" applyAlignment="1">
      <alignment horizontal="left"/>
    </xf>
    <xf numFmtId="179" fontId="1" fillId="0" borderId="0" xfId="0" applyNumberFormat="1" applyFont="1" applyAlignment="1">
      <alignment horizontal="left"/>
    </xf>
    <xf numFmtId="179" fontId="0" fillId="0" borderId="64" xfId="0" applyNumberFormat="1" applyBorder="1" applyAlignment="1">
      <alignment horizontal="left"/>
    </xf>
    <xf numFmtId="49" fontId="1" fillId="0" borderId="0" xfId="0" applyNumberFormat="1" applyFont="1" applyAlignment="1">
      <alignment horizontal="left"/>
    </xf>
    <xf numFmtId="0" fontId="2" fillId="0" borderId="0" xfId="0" applyFont="1" applyAlignment="1">
      <alignment horizontal="center"/>
    </xf>
    <xf numFmtId="0" fontId="7" fillId="0" borderId="0" xfId="0" applyFont="1" applyAlignment="1">
      <alignment horizontal="left"/>
    </xf>
    <xf numFmtId="0" fontId="8"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xf>
    <xf numFmtId="178" fontId="0" fillId="0" borderId="0" xfId="0" applyNumberFormat="1" applyAlignment="1">
      <alignment horizontal="center"/>
    </xf>
    <xf numFmtId="49" fontId="14" fillId="0" borderId="0" xfId="0" applyNumberFormat="1" applyFont="1" applyAlignment="1">
      <alignment horizontal="center"/>
    </xf>
    <xf numFmtId="49" fontId="0" fillId="0" borderId="4" xfId="0" applyNumberFormat="1" applyFill="1" applyBorder="1" applyAlignment="1">
      <alignment horizontal="center"/>
    </xf>
    <xf numFmtId="49" fontId="0" fillId="0" borderId="18" xfId="0" applyNumberFormat="1" applyFill="1" applyBorder="1" applyAlignment="1">
      <alignment horizontal="center"/>
    </xf>
    <xf numFmtId="178" fontId="0" fillId="0" borderId="0" xfId="0" applyNumberFormat="1" applyFill="1" applyBorder="1" applyAlignment="1">
      <alignment horizontal="center"/>
    </xf>
    <xf numFmtId="178" fontId="0" fillId="0" borderId="13" xfId="0" applyNumberFormat="1" applyFill="1" applyBorder="1" applyAlignment="1">
      <alignment horizontal="center"/>
    </xf>
    <xf numFmtId="178" fontId="0" fillId="0" borderId="0" xfId="0" applyNumberFormat="1" applyFill="1" applyAlignment="1">
      <alignment horizontal="center"/>
    </xf>
    <xf numFmtId="179" fontId="0" fillId="0" borderId="0" xfId="0" applyNumberFormat="1" applyAlignment="1">
      <alignment horizontal="center"/>
    </xf>
    <xf numFmtId="179" fontId="0" fillId="0" borderId="64" xfId="0" applyNumberFormat="1" applyBorder="1" applyAlignment="1">
      <alignment horizontal="center"/>
    </xf>
    <xf numFmtId="49" fontId="1" fillId="0" borderId="0" xfId="0" applyNumberFormat="1" applyFont="1" applyAlignment="1">
      <alignment horizontal="center"/>
    </xf>
    <xf numFmtId="179" fontId="0" fillId="0" borderId="0" xfId="0" applyNumberFormat="1" applyAlignment="1">
      <alignment horizontal="left"/>
    </xf>
    <xf numFmtId="49" fontId="1" fillId="0" borderId="64" xfId="0" applyNumberFormat="1" applyFont="1" applyBorder="1" applyAlignment="1">
      <alignment horizontal="left"/>
    </xf>
    <xf numFmtId="0" fontId="28" fillId="0" borderId="0" xfId="0" applyNumberFormat="1" applyFont="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979"/>
  <sheetViews>
    <sheetView tabSelected="1" zoomScaleSheetLayoutView="100" workbookViewId="0" topLeftCell="A1">
      <selection activeCell="C8" sqref="C8"/>
    </sheetView>
  </sheetViews>
  <sheetFormatPr defaultColWidth="9.140625" defaultRowHeight="12.75"/>
  <cols>
    <col min="1" max="1" width="17.8515625" style="0" customWidth="1"/>
    <col min="2" max="2" width="23.57421875" style="0" customWidth="1"/>
    <col min="3" max="3" width="14.28125" style="0" customWidth="1"/>
    <col min="4" max="4" width="25.7109375" style="0" customWidth="1"/>
    <col min="5" max="5" width="15.7109375" style="0" customWidth="1"/>
    <col min="6" max="6" width="25.00390625" style="0" customWidth="1"/>
    <col min="7" max="7" width="14.28125" style="0" customWidth="1"/>
    <col min="8" max="8" width="22.140625" style="0" customWidth="1"/>
  </cols>
  <sheetData>
    <row r="1" ht="12.75">
      <c r="A1" s="3" t="s">
        <v>93</v>
      </c>
    </row>
    <row r="2" spans="1:7" ht="12.75">
      <c r="A2" s="1" t="s">
        <v>1</v>
      </c>
      <c r="G2" s="1"/>
    </row>
    <row r="3" ht="12.75">
      <c r="A3" s="1" t="s">
        <v>488</v>
      </c>
    </row>
    <row r="4" spans="3:7" ht="12.75">
      <c r="C4" s="394" t="s">
        <v>341</v>
      </c>
      <c r="D4" s="394"/>
      <c r="E4" s="394"/>
      <c r="F4" s="394"/>
      <c r="G4" s="394"/>
    </row>
    <row r="7" spans="2:7" ht="12.75">
      <c r="B7" s="68" t="s">
        <v>2</v>
      </c>
      <c r="C7" s="6">
        <f>LOG10(1.5)*1200/LOG10(2)</f>
        <v>701.9550008653873</v>
      </c>
      <c r="D7" s="5" t="s">
        <v>344</v>
      </c>
      <c r="E7" s="24">
        <f>C7*46</f>
        <v>32289.930039807816</v>
      </c>
      <c r="F7" t="s">
        <v>523</v>
      </c>
      <c r="G7" s="8"/>
    </row>
    <row r="8" spans="2:7" ht="12.75">
      <c r="B8" s="68" t="s">
        <v>3</v>
      </c>
      <c r="C8" s="15">
        <f>C14</f>
        <v>694.2451989344896</v>
      </c>
      <c r="D8" s="5" t="s">
        <v>345</v>
      </c>
      <c r="E8" s="16">
        <f>C8*33</f>
        <v>22910.091564838156</v>
      </c>
      <c r="F8" t="s">
        <v>522</v>
      </c>
      <c r="G8" s="1"/>
    </row>
    <row r="9" spans="3:7" ht="12.75">
      <c r="C9" s="1" t="s">
        <v>4</v>
      </c>
      <c r="E9" s="3" t="s">
        <v>88</v>
      </c>
      <c r="G9" s="1"/>
    </row>
    <row r="10" spans="4:8" ht="12.75">
      <c r="D10" s="34" t="s">
        <v>333</v>
      </c>
      <c r="E10" s="17">
        <f>E7+E8</f>
        <v>55200.02160464597</v>
      </c>
      <c r="F10" s="7" t="s">
        <v>521</v>
      </c>
      <c r="G10" s="193">
        <f>E10/46</f>
        <v>1200.0004696662168</v>
      </c>
      <c r="H10" s="3" t="s">
        <v>272</v>
      </c>
    </row>
    <row r="11" spans="7:8" ht="12.75">
      <c r="G11" s="1"/>
      <c r="H11" s="31" t="s">
        <v>325</v>
      </c>
    </row>
    <row r="12" ht="12.75">
      <c r="G12" s="1"/>
    </row>
    <row r="13" ht="12.75">
      <c r="G13" s="1"/>
    </row>
    <row r="14" spans="2:8" ht="12.75">
      <c r="B14" s="68" t="s">
        <v>346</v>
      </c>
      <c r="C14" s="18">
        <f>C7-(G14*E14/E16)</f>
        <v>694.2451989344896</v>
      </c>
      <c r="D14" s="8" t="s">
        <v>338</v>
      </c>
      <c r="E14" s="23">
        <v>19</v>
      </c>
      <c r="F14" s="1" t="s">
        <v>317</v>
      </c>
      <c r="G14" s="12">
        <f>LOG10(81/80)*1200/LOG10(2)</f>
        <v>21.506289596714776</v>
      </c>
      <c r="H14" t="s">
        <v>340</v>
      </c>
    </row>
    <row r="15" spans="2:8" ht="12.75">
      <c r="B15" s="4" t="s">
        <v>91</v>
      </c>
      <c r="C15" s="18">
        <f>C7-(G15*E14/E16)</f>
        <v>693.5448084633433</v>
      </c>
      <c r="D15" s="8" t="s">
        <v>338</v>
      </c>
      <c r="E15" s="5" t="s">
        <v>0</v>
      </c>
      <c r="F15" s="1" t="s">
        <v>318</v>
      </c>
      <c r="G15" s="12">
        <f>LOG10(531441/524288)*1200/LOG10(2)</f>
        <v>23.460010384649014</v>
      </c>
      <c r="H15" t="s">
        <v>340</v>
      </c>
    </row>
    <row r="16" spans="2:8" ht="12.75">
      <c r="B16" s="4" t="s">
        <v>91</v>
      </c>
      <c r="C16" s="18">
        <f>C7-(G16*E14/E16)</f>
        <v>692.1810811634647</v>
      </c>
      <c r="D16" s="8" t="s">
        <v>338</v>
      </c>
      <c r="E16" s="22">
        <v>53</v>
      </c>
      <c r="F16" s="1" t="s">
        <v>334</v>
      </c>
      <c r="G16" s="12">
        <f>LOG10(64/63)*1200/LOG10(2)</f>
        <v>27.26409180010014</v>
      </c>
      <c r="H16" t="s">
        <v>340</v>
      </c>
    </row>
    <row r="17" spans="2:4" ht="12.75">
      <c r="B17" s="4" t="s">
        <v>91</v>
      </c>
      <c r="C17" s="26">
        <f>300/PI()+600</f>
        <v>695.4929658551372</v>
      </c>
      <c r="D17" s="11" t="s">
        <v>339</v>
      </c>
    </row>
    <row r="18" spans="2:4" ht="12.75">
      <c r="B18" s="4"/>
      <c r="C18" s="63"/>
      <c r="D18" s="5"/>
    </row>
    <row r="20" spans="6:8" ht="12.75">
      <c r="F20" s="395" t="s">
        <v>574</v>
      </c>
      <c r="G20" s="396"/>
      <c r="H20" s="9" t="s">
        <v>210</v>
      </c>
    </row>
    <row r="21" spans="2:8" ht="12.75">
      <c r="B21" s="10" t="s">
        <v>282</v>
      </c>
      <c r="D21" s="9" t="s">
        <v>326</v>
      </c>
      <c r="E21" s="9" t="s">
        <v>92</v>
      </c>
      <c r="F21" s="395" t="s">
        <v>578</v>
      </c>
      <c r="G21" s="396"/>
      <c r="H21" s="9" t="s">
        <v>211</v>
      </c>
    </row>
    <row r="22" ht="12.75">
      <c r="H22" s="13"/>
    </row>
    <row r="23" spans="4:8" ht="12.75">
      <c r="D23" s="8" t="s">
        <v>125</v>
      </c>
      <c r="E23" s="1" t="s">
        <v>89</v>
      </c>
      <c r="F23" s="30" t="s">
        <v>268</v>
      </c>
      <c r="G23" s="29" t="s">
        <v>283</v>
      </c>
      <c r="H23" s="25" t="s">
        <v>90</v>
      </c>
    </row>
    <row r="24" spans="2:8" ht="12.75">
      <c r="B24" s="19" t="s">
        <v>275</v>
      </c>
      <c r="D24" s="8" t="s">
        <v>124</v>
      </c>
      <c r="E24" s="3">
        <f>C7</f>
        <v>701.9550008653873</v>
      </c>
      <c r="F24" s="27">
        <f>SUM(E24:E90)-(G10*39)</f>
        <v>15.09228693338082</v>
      </c>
      <c r="G24" t="s">
        <v>8</v>
      </c>
      <c r="H24" s="21" t="s">
        <v>217</v>
      </c>
    </row>
    <row r="25" spans="2:8" ht="12.75">
      <c r="B25" s="20"/>
      <c r="D25" s="8" t="s">
        <v>123</v>
      </c>
      <c r="E25" s="5">
        <f>C8</f>
        <v>694.2451989344896</v>
      </c>
      <c r="F25" s="27">
        <f>SUM(E24:E78)-(G10*32)</f>
        <v>30.184573866710707</v>
      </c>
      <c r="G25" t="s">
        <v>9</v>
      </c>
      <c r="H25" s="21" t="s">
        <v>160</v>
      </c>
    </row>
    <row r="26" spans="2:8" ht="12.75">
      <c r="B26" s="20" t="s">
        <v>5</v>
      </c>
      <c r="D26" s="8" t="s">
        <v>122</v>
      </c>
      <c r="E26" s="3">
        <f>C7</f>
        <v>701.9550008653873</v>
      </c>
      <c r="F26" s="27">
        <f>SUM(E24:E66)-(G10*25)</f>
        <v>45.27686080005515</v>
      </c>
      <c r="G26" t="s">
        <v>10</v>
      </c>
      <c r="H26" s="21" t="s">
        <v>218</v>
      </c>
    </row>
    <row r="27" spans="2:8" ht="12.75">
      <c r="B27" s="20"/>
      <c r="D27" s="8" t="s">
        <v>121</v>
      </c>
      <c r="E27" s="5">
        <f>C8</f>
        <v>694.2451989344896</v>
      </c>
      <c r="F27" s="27">
        <f>SUM(E24:E54)-(G10*18)</f>
        <v>60.36914773343233</v>
      </c>
      <c r="G27" t="s">
        <v>11</v>
      </c>
      <c r="H27" s="21" t="s">
        <v>160</v>
      </c>
    </row>
    <row r="28" spans="2:8" ht="12.75">
      <c r="B28" s="20" t="s">
        <v>5</v>
      </c>
      <c r="D28" s="8" t="s">
        <v>120</v>
      </c>
      <c r="E28" s="3">
        <f>C7</f>
        <v>701.9550008653873</v>
      </c>
      <c r="F28" s="27">
        <f>SUM(E24:E42)-(G10*11)</f>
        <v>75.46143466679678</v>
      </c>
      <c r="G28" t="s">
        <v>12</v>
      </c>
      <c r="H28" s="21" t="s">
        <v>132</v>
      </c>
    </row>
    <row r="29" spans="2:8" ht="12.75">
      <c r="B29" s="20" t="s">
        <v>6</v>
      </c>
      <c r="D29" s="8" t="s">
        <v>131</v>
      </c>
      <c r="E29" s="5">
        <f>C8</f>
        <v>694.2451989344896</v>
      </c>
      <c r="F29" s="27">
        <f>SUM(E24:E30)-(G10*4)</f>
        <v>90.55372160015031</v>
      </c>
      <c r="G29" t="s">
        <v>13</v>
      </c>
      <c r="H29" s="21" t="s">
        <v>133</v>
      </c>
    </row>
    <row r="30" spans="2:8" ht="12.75">
      <c r="B30" s="20"/>
      <c r="D30" s="8" t="s">
        <v>130</v>
      </c>
      <c r="E30" s="3">
        <f>C7</f>
        <v>701.9550008653873</v>
      </c>
      <c r="F30" s="27">
        <f>SUM(E24:E97)-(G10*43)</f>
        <v>105.64600853354932</v>
      </c>
      <c r="G30" t="s">
        <v>14</v>
      </c>
      <c r="H30" s="21" t="s">
        <v>134</v>
      </c>
    </row>
    <row r="31" spans="2:8" ht="12.75">
      <c r="B31" s="20" t="s">
        <v>5</v>
      </c>
      <c r="D31" s="8" t="s">
        <v>129</v>
      </c>
      <c r="E31" s="3">
        <f>C7</f>
        <v>701.9550008653873</v>
      </c>
      <c r="F31" s="27">
        <f>SUM(E24:E85)-(G10*36)</f>
        <v>120.73829546687921</v>
      </c>
      <c r="G31" t="s">
        <v>15</v>
      </c>
      <c r="H31" s="21" t="s">
        <v>135</v>
      </c>
    </row>
    <row r="32" spans="2:8" ht="12.75">
      <c r="B32" s="20" t="s">
        <v>6</v>
      </c>
      <c r="D32" s="8" t="s">
        <v>128</v>
      </c>
      <c r="E32" s="5">
        <f>C8</f>
        <v>694.2451989344896</v>
      </c>
      <c r="F32" s="27">
        <f>SUM(E24:E73)-(G10*29)</f>
        <v>135.8305824002091</v>
      </c>
      <c r="G32" t="s">
        <v>16</v>
      </c>
      <c r="H32" s="21" t="s">
        <v>136</v>
      </c>
    </row>
    <row r="33" spans="2:8" ht="12.75">
      <c r="B33" s="20"/>
      <c r="D33" s="8" t="s">
        <v>127</v>
      </c>
      <c r="E33" s="3">
        <f>C7</f>
        <v>701.9550008653873</v>
      </c>
      <c r="F33" s="27">
        <f>SUM(E24:E61)-(G10*22)</f>
        <v>150.92286933357173</v>
      </c>
      <c r="G33" t="s">
        <v>17</v>
      </c>
      <c r="H33" s="21" t="s">
        <v>137</v>
      </c>
    </row>
    <row r="34" spans="2:8" ht="12.75">
      <c r="B34" s="20" t="s">
        <v>5</v>
      </c>
      <c r="D34" s="8" t="s">
        <v>119</v>
      </c>
      <c r="E34" s="5">
        <f>C8</f>
        <v>694.2451989344896</v>
      </c>
      <c r="F34" s="27">
        <f>SUM(E24:E49)-(G10*15)</f>
        <v>166.0151562669489</v>
      </c>
      <c r="G34" t="s">
        <v>18</v>
      </c>
      <c r="H34" s="21" t="s">
        <v>138</v>
      </c>
    </row>
    <row r="35" spans="2:8" ht="12.75">
      <c r="B35" s="20" t="s">
        <v>6</v>
      </c>
      <c r="D35" s="8" t="s">
        <v>118</v>
      </c>
      <c r="E35" s="3">
        <f>C7</f>
        <v>701.9550008653873</v>
      </c>
      <c r="F35" s="27">
        <f>SUM(E24:E37)-(G10*8)</f>
        <v>181.10744320030426</v>
      </c>
      <c r="G35" t="s">
        <v>19</v>
      </c>
      <c r="H35" s="21" t="s">
        <v>139</v>
      </c>
    </row>
    <row r="36" spans="2:8" ht="12.75">
      <c r="B36" s="20"/>
      <c r="D36" s="8" t="s">
        <v>117</v>
      </c>
      <c r="E36" s="5">
        <f>C8</f>
        <v>694.2451989344896</v>
      </c>
      <c r="F36" s="28">
        <f>(E24+E25)-G10</f>
        <v>196.19973013366007</v>
      </c>
      <c r="G36" s="29" t="s">
        <v>20</v>
      </c>
      <c r="H36" s="25" t="s">
        <v>142</v>
      </c>
    </row>
    <row r="37" spans="2:8" ht="12.75">
      <c r="B37" s="20" t="s">
        <v>5</v>
      </c>
      <c r="D37" s="8" t="s">
        <v>116</v>
      </c>
      <c r="E37" s="3">
        <f>C7</f>
        <v>701.9550008653873</v>
      </c>
      <c r="F37" s="27">
        <f>SUM(E24:E92)-(G10*40)</f>
        <v>211.2920170670477</v>
      </c>
      <c r="G37" t="s">
        <v>21</v>
      </c>
      <c r="H37" s="21" t="s">
        <v>140</v>
      </c>
    </row>
    <row r="38" spans="2:8" ht="12.75">
      <c r="B38" s="20" t="s">
        <v>6</v>
      </c>
      <c r="D38" s="8" t="s">
        <v>115</v>
      </c>
      <c r="E38" s="3">
        <f>C7</f>
        <v>701.9550008653873</v>
      </c>
      <c r="F38" s="27">
        <f>SUM(E24:E80)-(G10*33)</f>
        <v>226.3843040003776</v>
      </c>
      <c r="G38" t="s">
        <v>22</v>
      </c>
      <c r="H38" s="21" t="s">
        <v>141</v>
      </c>
    </row>
    <row r="39" spans="2:8" ht="12.75">
      <c r="B39" s="20"/>
      <c r="D39" s="8" t="s">
        <v>114</v>
      </c>
      <c r="E39" s="5">
        <f>C8</f>
        <v>694.2451989344896</v>
      </c>
      <c r="F39" s="27">
        <f>SUM(E24:E68)-(G10*26)</f>
        <v>241.47659093371476</v>
      </c>
      <c r="G39" t="s">
        <v>23</v>
      </c>
      <c r="H39" s="21" t="s">
        <v>161</v>
      </c>
    </row>
    <row r="40" spans="2:8" ht="12.75">
      <c r="B40" s="20" t="s">
        <v>5</v>
      </c>
      <c r="D40" s="8" t="s">
        <v>113</v>
      </c>
      <c r="E40" s="3">
        <f>C7</f>
        <v>701.9550008653873</v>
      </c>
      <c r="F40" s="27">
        <f>SUM(E24:E56)-(G10*19)</f>
        <v>256.5688778670883</v>
      </c>
      <c r="G40" t="s">
        <v>24</v>
      </c>
      <c r="H40" s="21" t="s">
        <v>162</v>
      </c>
    </row>
    <row r="41" spans="2:8" ht="12.75">
      <c r="B41" s="20" t="s">
        <v>6</v>
      </c>
      <c r="D41" s="8" t="s">
        <v>112</v>
      </c>
      <c r="E41" s="5">
        <f>C8</f>
        <v>694.2451989344896</v>
      </c>
      <c r="F41" s="27">
        <f>SUM(E24:E44)-(G10*12)</f>
        <v>271.6611648004582</v>
      </c>
      <c r="G41" t="s">
        <v>25</v>
      </c>
      <c r="H41" s="21" t="s">
        <v>159</v>
      </c>
    </row>
    <row r="42" spans="2:8" ht="12.75">
      <c r="B42" s="20"/>
      <c r="D42" s="8" t="s">
        <v>111</v>
      </c>
      <c r="E42" s="3">
        <f>C7</f>
        <v>701.9550008653873</v>
      </c>
      <c r="F42" s="27">
        <f>SUM(E24:E32)-(G10*5)</f>
        <v>286.75345173381174</v>
      </c>
      <c r="G42" t="s">
        <v>26</v>
      </c>
      <c r="H42" s="21" t="s">
        <v>163</v>
      </c>
    </row>
    <row r="43" spans="2:8" ht="12.75">
      <c r="B43" s="20" t="s">
        <v>5</v>
      </c>
      <c r="D43" s="8" t="s">
        <v>110</v>
      </c>
      <c r="E43" s="3">
        <f>C7</f>
        <v>701.9550008653873</v>
      </c>
      <c r="F43" s="27">
        <f>SUM(E24:E99)-(G10*44)</f>
        <v>301.84573866720893</v>
      </c>
      <c r="G43" t="s">
        <v>27</v>
      </c>
      <c r="H43" s="21" t="s">
        <v>143</v>
      </c>
    </row>
    <row r="44" spans="2:8" ht="12.75">
      <c r="B44" s="20" t="s">
        <v>7</v>
      </c>
      <c r="D44" s="8" t="s">
        <v>109</v>
      </c>
      <c r="E44" s="5">
        <f>C8</f>
        <v>694.2451989344896</v>
      </c>
      <c r="F44" s="27">
        <f>SUM(E24:E87)-(G10*37)</f>
        <v>316.9380256005388</v>
      </c>
      <c r="G44" t="s">
        <v>28</v>
      </c>
      <c r="H44" s="21" t="s">
        <v>144</v>
      </c>
    </row>
    <row r="45" spans="2:8" ht="12.75">
      <c r="B45" s="20"/>
      <c r="D45" s="8" t="s">
        <v>108</v>
      </c>
      <c r="E45" s="3">
        <f>C7</f>
        <v>701.9550008653873</v>
      </c>
      <c r="F45" s="27">
        <f>SUM(E24:E75)-(G10*30)</f>
        <v>332.030312533876</v>
      </c>
      <c r="G45" t="s">
        <v>29</v>
      </c>
      <c r="H45" s="21" t="s">
        <v>145</v>
      </c>
    </row>
    <row r="46" spans="2:8" ht="12.75">
      <c r="B46" s="37" t="s">
        <v>278</v>
      </c>
      <c r="D46" s="8" t="s">
        <v>107</v>
      </c>
      <c r="E46" s="5">
        <f>C8</f>
        <v>694.2451989344896</v>
      </c>
      <c r="F46" s="27">
        <f>SUM(E24:E63)-(G10*23)</f>
        <v>347.12259946723134</v>
      </c>
      <c r="G46" t="s">
        <v>30</v>
      </c>
      <c r="H46" s="21" t="s">
        <v>146</v>
      </c>
    </row>
    <row r="47" spans="2:8" ht="12.75">
      <c r="B47" s="37" t="s">
        <v>277</v>
      </c>
      <c r="D47" s="8" t="s">
        <v>106</v>
      </c>
      <c r="E47" s="3">
        <f>C7</f>
        <v>701.9550008653873</v>
      </c>
      <c r="F47" s="27">
        <f>SUM(E24:E51)-(G10*16)</f>
        <v>362.2148864006049</v>
      </c>
      <c r="G47" t="s">
        <v>31</v>
      </c>
      <c r="H47" s="21" t="s">
        <v>147</v>
      </c>
    </row>
    <row r="48" spans="2:8" ht="12.75">
      <c r="B48" s="37" t="s">
        <v>460</v>
      </c>
      <c r="D48" s="8" t="s">
        <v>105</v>
      </c>
      <c r="E48" s="5">
        <f>C8</f>
        <v>694.2451989344896</v>
      </c>
      <c r="F48" s="27">
        <f>SUM(E24:E39)-(G10*9)</f>
        <v>377.3071733339657</v>
      </c>
      <c r="G48" t="s">
        <v>32</v>
      </c>
      <c r="H48" s="21" t="s">
        <v>148</v>
      </c>
    </row>
    <row r="49" spans="2:8" ht="12.75">
      <c r="B49" s="37" t="s">
        <v>320</v>
      </c>
      <c r="D49" s="8" t="s">
        <v>104</v>
      </c>
      <c r="E49" s="3">
        <f>C7</f>
        <v>701.9550008653873</v>
      </c>
      <c r="F49" s="28">
        <f>SUM(E24:E27)-(G10*2)</f>
        <v>392.39946026732014</v>
      </c>
      <c r="G49" s="29" t="s">
        <v>33</v>
      </c>
      <c r="H49" s="25" t="s">
        <v>149</v>
      </c>
    </row>
    <row r="50" spans="2:8" ht="12.75">
      <c r="B50" s="37" t="s">
        <v>279</v>
      </c>
      <c r="D50" s="8" t="s">
        <v>234</v>
      </c>
      <c r="E50" s="3">
        <f>C7</f>
        <v>701.9550008653873</v>
      </c>
      <c r="F50" s="27">
        <f>SUM(E24:E94)-(G10*41)</f>
        <v>407.4917472007073</v>
      </c>
      <c r="G50" t="s">
        <v>34</v>
      </c>
      <c r="H50" s="21" t="s">
        <v>150</v>
      </c>
    </row>
    <row r="51" spans="2:8" ht="12.75">
      <c r="B51" s="37" t="s">
        <v>280</v>
      </c>
      <c r="D51" s="8" t="s">
        <v>103</v>
      </c>
      <c r="E51" s="5">
        <f>C8</f>
        <v>694.2451989344896</v>
      </c>
      <c r="F51" s="27">
        <f>SUM(E24:E82)-(G10*34)</f>
        <v>422.5840341340372</v>
      </c>
      <c r="G51" t="s">
        <v>35</v>
      </c>
      <c r="H51" s="21" t="s">
        <v>151</v>
      </c>
    </row>
    <row r="52" spans="2:8" ht="12.75">
      <c r="B52" s="37" t="s">
        <v>281</v>
      </c>
      <c r="D52" s="8" t="s">
        <v>102</v>
      </c>
      <c r="E52" s="3">
        <f>C7</f>
        <v>701.9550008653873</v>
      </c>
      <c r="F52" s="27">
        <f>SUM(E24:E70)-(G10*27)</f>
        <v>437.67632106737074</v>
      </c>
      <c r="G52" t="s">
        <v>36</v>
      </c>
      <c r="H52" s="21" t="s">
        <v>164</v>
      </c>
    </row>
    <row r="53" spans="2:8" ht="12.75">
      <c r="B53" s="37" t="s">
        <v>321</v>
      </c>
      <c r="D53" s="8" t="s">
        <v>101</v>
      </c>
      <c r="E53" s="5">
        <f>C8</f>
        <v>694.2451989344896</v>
      </c>
      <c r="F53" s="27">
        <f>SUM(E24:E58)-(G10*20)</f>
        <v>452.7686080007479</v>
      </c>
      <c r="G53" t="s">
        <v>37</v>
      </c>
      <c r="H53" s="21" t="s">
        <v>165</v>
      </c>
    </row>
    <row r="54" spans="2:8" ht="12.75">
      <c r="B54" s="36" t="s">
        <v>322</v>
      </c>
      <c r="D54" s="8" t="s">
        <v>100</v>
      </c>
      <c r="E54" s="3">
        <f>C7</f>
        <v>701.9550008653873</v>
      </c>
      <c r="F54" s="27">
        <f>SUM(E24:E46)-(G10*13)</f>
        <v>467.86089493411964</v>
      </c>
      <c r="G54" t="s">
        <v>38</v>
      </c>
      <c r="H54" s="21" t="s">
        <v>166</v>
      </c>
    </row>
    <row r="55" spans="2:8" ht="12.75">
      <c r="B55" s="36" t="s">
        <v>329</v>
      </c>
      <c r="D55" s="8" t="s">
        <v>235</v>
      </c>
      <c r="E55" s="3">
        <f>C7</f>
        <v>701.9550008653873</v>
      </c>
      <c r="F55" s="27">
        <f>SUM(E24:E34)-(G10*6)</f>
        <v>482.95318186747227</v>
      </c>
      <c r="G55" t="s">
        <v>39</v>
      </c>
      <c r="H55" s="21" t="s">
        <v>167</v>
      </c>
    </row>
    <row r="56" spans="2:8" ht="12.75">
      <c r="B56" s="35" t="s">
        <v>330</v>
      </c>
      <c r="D56" s="8" t="s">
        <v>99</v>
      </c>
      <c r="E56" s="5">
        <f>C8</f>
        <v>694.2451989344896</v>
      </c>
      <c r="F56" s="28">
        <f>SUM(E24:E101)-(G10*45)</f>
        <v>498.0454688008758</v>
      </c>
      <c r="G56" s="29" t="s">
        <v>40</v>
      </c>
      <c r="H56" s="25" t="s">
        <v>152</v>
      </c>
    </row>
    <row r="57" spans="2:8" ht="12.75">
      <c r="B57" s="393"/>
      <c r="C57" s="393"/>
      <c r="D57" s="8" t="s">
        <v>236</v>
      </c>
      <c r="E57" s="3">
        <f>C7</f>
        <v>701.9550008653873</v>
      </c>
      <c r="F57" s="27">
        <f>SUM(E24:E89)-(G10*38)</f>
        <v>513.1377557342057</v>
      </c>
      <c r="G57" t="s">
        <v>41</v>
      </c>
      <c r="H57" s="21" t="s">
        <v>168</v>
      </c>
    </row>
    <row r="58" spans="2:8" ht="12.75">
      <c r="B58" s="393"/>
      <c r="C58" s="393"/>
      <c r="D58" s="8" t="s">
        <v>98</v>
      </c>
      <c r="E58" s="5">
        <f>C8</f>
        <v>694.2451989344896</v>
      </c>
      <c r="F58" s="27">
        <f>SUM(E24:E77)-(G10*31)</f>
        <v>528.2300426675356</v>
      </c>
      <c r="G58" t="s">
        <v>42</v>
      </c>
      <c r="H58" s="21" t="s">
        <v>169</v>
      </c>
    </row>
    <row r="59" spans="2:8" ht="12.75">
      <c r="B59" s="389" t="s">
        <v>207</v>
      </c>
      <c r="C59" s="389"/>
      <c r="D59" s="8" t="s">
        <v>219</v>
      </c>
      <c r="E59" s="3">
        <f>C7</f>
        <v>701.9550008653873</v>
      </c>
      <c r="F59" s="27">
        <f>SUM(E24:E65)-(G10*24)</f>
        <v>543.3223296008873</v>
      </c>
      <c r="G59" t="s">
        <v>43</v>
      </c>
      <c r="H59" s="21" t="s">
        <v>170</v>
      </c>
    </row>
    <row r="60" spans="2:8" ht="12.75">
      <c r="B60" s="389" t="s">
        <v>208</v>
      </c>
      <c r="C60" s="389"/>
      <c r="D60" s="8" t="s">
        <v>97</v>
      </c>
      <c r="E60" s="5">
        <f>C8</f>
        <v>694.2451989344896</v>
      </c>
      <c r="F60" s="27">
        <f>SUM(E24:E53)-(G10*17)</f>
        <v>558.4146165342609</v>
      </c>
      <c r="G60" t="s">
        <v>44</v>
      </c>
      <c r="H60" s="21" t="s">
        <v>171</v>
      </c>
    </row>
    <row r="61" spans="2:8" ht="12.75">
      <c r="B61" s="389" t="s">
        <v>209</v>
      </c>
      <c r="C61" s="389"/>
      <c r="D61" s="8" t="s">
        <v>220</v>
      </c>
      <c r="E61" s="3">
        <f>C7</f>
        <v>701.9550008653873</v>
      </c>
      <c r="F61" s="27">
        <f>SUM(E24:E41)-(G10*10)</f>
        <v>573.5069034676271</v>
      </c>
      <c r="G61" t="s">
        <v>45</v>
      </c>
      <c r="H61" s="21" t="s">
        <v>172</v>
      </c>
    </row>
    <row r="62" spans="2:8" ht="12.75">
      <c r="B62" s="389" t="s">
        <v>212</v>
      </c>
      <c r="C62" s="389"/>
      <c r="D62" s="8" t="s">
        <v>221</v>
      </c>
      <c r="E62" s="3">
        <f>C7</f>
        <v>701.9550008653873</v>
      </c>
      <c r="F62" s="27">
        <f>SUM(E24:E29)-(G10*3)</f>
        <v>588.5991904009802</v>
      </c>
      <c r="G62" t="s">
        <v>46</v>
      </c>
      <c r="H62" s="21" t="s">
        <v>173</v>
      </c>
    </row>
    <row r="63" spans="2:8" ht="12.75">
      <c r="B63" s="392"/>
      <c r="C63" s="392"/>
      <c r="D63" s="8" t="s">
        <v>96</v>
      </c>
      <c r="E63" s="5">
        <f>C8</f>
        <v>694.2451989344896</v>
      </c>
      <c r="F63" s="27">
        <f>SUM(E24:E96)-(G10*42)</f>
        <v>603.6914773343742</v>
      </c>
      <c r="G63" t="s">
        <v>47</v>
      </c>
      <c r="H63" s="21" t="s">
        <v>174</v>
      </c>
    </row>
    <row r="64" spans="2:8" ht="12.75">
      <c r="B64" s="389" t="s">
        <v>213</v>
      </c>
      <c r="C64" s="389"/>
      <c r="D64" s="8" t="s">
        <v>222</v>
      </c>
      <c r="E64" s="3">
        <f>C7</f>
        <v>701.9550008653873</v>
      </c>
      <c r="F64" s="27">
        <f>SUM(E24:E84)-(G10*35)</f>
        <v>618.7837642677041</v>
      </c>
      <c r="G64" t="s">
        <v>48</v>
      </c>
      <c r="H64" s="21" t="s">
        <v>175</v>
      </c>
    </row>
    <row r="65" spans="2:8" ht="12.75">
      <c r="B65" s="389" t="s">
        <v>215</v>
      </c>
      <c r="C65" s="389"/>
      <c r="D65" s="8" t="s">
        <v>126</v>
      </c>
      <c r="E65" s="5">
        <f>C8</f>
        <v>694.2451989344896</v>
      </c>
      <c r="F65" s="27">
        <f>SUM(E24:E72)-(G10*28)</f>
        <v>633.876051201034</v>
      </c>
      <c r="G65" t="s">
        <v>49</v>
      </c>
      <c r="H65" s="21" t="s">
        <v>176</v>
      </c>
    </row>
    <row r="66" spans="2:8" ht="12.75">
      <c r="B66" s="392"/>
      <c r="C66" s="392"/>
      <c r="D66" s="8" t="s">
        <v>223</v>
      </c>
      <c r="E66" s="3">
        <f>C7</f>
        <v>701.9550008653873</v>
      </c>
      <c r="F66" s="27">
        <f>SUM(E24:E60)-(G10*21)</f>
        <v>648.9683381344039</v>
      </c>
      <c r="G66" t="s">
        <v>50</v>
      </c>
      <c r="H66" s="21" t="s">
        <v>177</v>
      </c>
    </row>
    <row r="67" spans="2:8" ht="12.75">
      <c r="B67" s="389" t="s">
        <v>214</v>
      </c>
      <c r="C67" s="389"/>
      <c r="D67" s="8" t="s">
        <v>224</v>
      </c>
      <c r="E67" s="3">
        <f>C7</f>
        <v>701.9550008653873</v>
      </c>
      <c r="F67" s="27">
        <f>SUM(E24:E48)-(G10*14)</f>
        <v>664.0606250677774</v>
      </c>
      <c r="G67" t="s">
        <v>51</v>
      </c>
      <c r="H67" s="21" t="s">
        <v>178</v>
      </c>
    </row>
    <row r="68" spans="2:8" ht="12.75">
      <c r="B68" s="389" t="s">
        <v>575</v>
      </c>
      <c r="C68" s="389"/>
      <c r="D68" s="8" t="s">
        <v>225</v>
      </c>
      <c r="E68" s="5">
        <f>C8</f>
        <v>694.2451989344896</v>
      </c>
      <c r="F68" s="27">
        <f>SUM(E24:E36)-(G10*7)</f>
        <v>679.1529120011328</v>
      </c>
      <c r="G68" t="s">
        <v>52</v>
      </c>
      <c r="H68" s="21" t="s">
        <v>179</v>
      </c>
    </row>
    <row r="69" spans="2:8" ht="12.75">
      <c r="B69" s="389" t="s">
        <v>216</v>
      </c>
      <c r="C69" s="389"/>
      <c r="D69" s="8" t="s">
        <v>226</v>
      </c>
      <c r="E69" s="3">
        <f>C7</f>
        <v>701.9550008653873</v>
      </c>
      <c r="F69" s="28">
        <f>E24</f>
        <v>701.9550008653873</v>
      </c>
      <c r="G69" s="29" t="s">
        <v>53</v>
      </c>
      <c r="H69" s="25" t="s">
        <v>153</v>
      </c>
    </row>
    <row r="70" spans="2:8" ht="12.75">
      <c r="B70" s="392"/>
      <c r="C70" s="392"/>
      <c r="D70" s="8" t="s">
        <v>227</v>
      </c>
      <c r="E70" s="5">
        <f>C8</f>
        <v>694.2451989344896</v>
      </c>
      <c r="F70" s="27">
        <f>SUM(E24:E91)-(G10*39)</f>
        <v>717.0472877987704</v>
      </c>
      <c r="G70" t="s">
        <v>54</v>
      </c>
      <c r="H70" s="21" t="s">
        <v>180</v>
      </c>
    </row>
    <row r="71" spans="2:8" ht="12.75">
      <c r="B71" s="389" t="s">
        <v>328</v>
      </c>
      <c r="C71" s="389"/>
      <c r="D71" s="8" t="s">
        <v>228</v>
      </c>
      <c r="E71" s="3">
        <f>C7</f>
        <v>701.9550008653873</v>
      </c>
      <c r="F71" s="27">
        <f>SUM(E24:E79)-(G10*32)</f>
        <v>732.1395747321003</v>
      </c>
      <c r="G71" t="s">
        <v>55</v>
      </c>
      <c r="H71" s="21" t="s">
        <v>181</v>
      </c>
    </row>
    <row r="72" spans="2:8" ht="12.75">
      <c r="B72" s="389" t="s">
        <v>269</v>
      </c>
      <c r="C72" s="389"/>
      <c r="D72" s="8" t="s">
        <v>95</v>
      </c>
      <c r="E72" s="5">
        <f>C8</f>
        <v>694.2451989344896</v>
      </c>
      <c r="F72" s="27">
        <f>SUM(E24:E67)-(G10*25)</f>
        <v>747.2318616654411</v>
      </c>
      <c r="G72" t="s">
        <v>56</v>
      </c>
      <c r="H72" s="21" t="s">
        <v>182</v>
      </c>
    </row>
    <row r="73" spans="2:8" ht="12.75">
      <c r="B73" s="389" t="s">
        <v>270</v>
      </c>
      <c r="C73" s="389"/>
      <c r="D73" s="8" t="s">
        <v>229</v>
      </c>
      <c r="E73" s="3">
        <f>C7</f>
        <v>701.9550008653873</v>
      </c>
      <c r="F73" s="27">
        <f>SUM(E24:E55)-(G10*18)</f>
        <v>762.3241485988183</v>
      </c>
      <c r="G73" t="s">
        <v>57</v>
      </c>
      <c r="H73" s="21" t="s">
        <v>183</v>
      </c>
    </row>
    <row r="74" spans="2:8" ht="12.75">
      <c r="B74" s="389" t="s">
        <v>271</v>
      </c>
      <c r="C74" s="389"/>
      <c r="D74" s="8" t="s">
        <v>230</v>
      </c>
      <c r="E74" s="3">
        <f>C7</f>
        <v>701.9550008653873</v>
      </c>
      <c r="F74" s="27">
        <f>SUM(E24:E43)-(G10*11)</f>
        <v>777.4164355321846</v>
      </c>
      <c r="G74" t="s">
        <v>58</v>
      </c>
      <c r="H74" s="21" t="s">
        <v>184</v>
      </c>
    </row>
    <row r="75" spans="2:8" ht="12.75">
      <c r="B75" s="392"/>
      <c r="C75" s="392"/>
      <c r="D75" s="8" t="s">
        <v>231</v>
      </c>
      <c r="E75" s="5">
        <f>C8</f>
        <v>694.2451989344896</v>
      </c>
      <c r="F75" s="27">
        <f>SUM(E24:E31)-(G10*4)</f>
        <v>792.5087224655381</v>
      </c>
      <c r="G75" t="s">
        <v>59</v>
      </c>
      <c r="H75" s="21" t="s">
        <v>185</v>
      </c>
    </row>
    <row r="76" spans="2:8" ht="12.75">
      <c r="B76" s="389" t="s">
        <v>266</v>
      </c>
      <c r="C76" s="389"/>
      <c r="D76" s="8" t="s">
        <v>232</v>
      </c>
      <c r="E76" s="3">
        <f>C7</f>
        <v>701.9550008653873</v>
      </c>
      <c r="F76" s="27">
        <f>SUM(E24:E98)-(G10*43)</f>
        <v>807.6010093989389</v>
      </c>
      <c r="G76" t="s">
        <v>60</v>
      </c>
      <c r="H76" s="21" t="s">
        <v>186</v>
      </c>
    </row>
    <row r="77" spans="2:8" ht="12.75">
      <c r="B77" s="392"/>
      <c r="C77" s="392"/>
      <c r="D77" s="8" t="s">
        <v>233</v>
      </c>
      <c r="E77" s="5">
        <f>C8</f>
        <v>694.2451989344896</v>
      </c>
      <c r="F77" s="27">
        <f>SUM(E24:E86)-(G10*36)</f>
        <v>822.6932963322688</v>
      </c>
      <c r="G77" t="s">
        <v>61</v>
      </c>
      <c r="H77" s="21" t="s">
        <v>187</v>
      </c>
    </row>
    <row r="78" spans="2:8" ht="12.75">
      <c r="B78" s="392"/>
      <c r="C78" s="392"/>
      <c r="D78" s="8" t="s">
        <v>237</v>
      </c>
      <c r="E78" s="3">
        <f>C7</f>
        <v>701.9550008653873</v>
      </c>
      <c r="F78" s="27">
        <f>SUM(E24:E74)-(G10*29)</f>
        <v>837.7855832655987</v>
      </c>
      <c r="G78" t="s">
        <v>62</v>
      </c>
      <c r="H78" s="21" t="s">
        <v>188</v>
      </c>
    </row>
    <row r="79" spans="2:8" ht="12.75">
      <c r="B79" s="389" t="s">
        <v>284</v>
      </c>
      <c r="C79" s="389"/>
      <c r="D79" s="8" t="s">
        <v>238</v>
      </c>
      <c r="E79" s="3">
        <f>C7</f>
        <v>701.9550008653873</v>
      </c>
      <c r="F79" s="27">
        <f>SUM(E24:E62)-(G10*22)</f>
        <v>852.8778701989577</v>
      </c>
      <c r="G79" t="s">
        <v>63</v>
      </c>
      <c r="H79" s="21" t="s">
        <v>189</v>
      </c>
    </row>
    <row r="80" spans="2:8" ht="12.75">
      <c r="B80" s="389" t="s">
        <v>262</v>
      </c>
      <c r="C80" s="389"/>
      <c r="D80" s="8" t="s">
        <v>239</v>
      </c>
      <c r="E80" s="5">
        <f>C8</f>
        <v>694.2451989344896</v>
      </c>
      <c r="F80" s="27">
        <f>SUM(E24:E50)-(G10*15)</f>
        <v>867.9701571323349</v>
      </c>
      <c r="G80" t="s">
        <v>64</v>
      </c>
      <c r="H80" s="21" t="s">
        <v>154</v>
      </c>
    </row>
    <row r="81" spans="2:8" ht="12.75">
      <c r="B81" s="38" t="s">
        <v>264</v>
      </c>
      <c r="D81" s="8" t="s">
        <v>240</v>
      </c>
      <c r="E81" s="3">
        <f>C7</f>
        <v>701.9550008653873</v>
      </c>
      <c r="F81" s="27">
        <f>SUM(E24:E38)-(G10*8)</f>
        <v>883.062444065692</v>
      </c>
      <c r="G81" t="s">
        <v>65</v>
      </c>
      <c r="H81" s="21" t="s">
        <v>155</v>
      </c>
    </row>
    <row r="82" spans="2:8" ht="12.75">
      <c r="B82" s="38" t="s">
        <v>265</v>
      </c>
      <c r="D82" s="8" t="s">
        <v>241</v>
      </c>
      <c r="E82" s="5">
        <f>C8</f>
        <v>694.2451989344896</v>
      </c>
      <c r="F82" s="28">
        <f>SUM(E24:E26)-G10</f>
        <v>898.1547309990474</v>
      </c>
      <c r="G82" s="29" t="s">
        <v>66</v>
      </c>
      <c r="H82" s="25" t="s">
        <v>158</v>
      </c>
    </row>
    <row r="83" spans="2:8" ht="12.75">
      <c r="B83" s="285" t="s">
        <v>263</v>
      </c>
      <c r="C83" s="8"/>
      <c r="D83" s="8" t="s">
        <v>242</v>
      </c>
      <c r="E83" s="3">
        <f>C7</f>
        <v>701.9550008653873</v>
      </c>
      <c r="F83" s="27">
        <f>SUM(E24:E93)-(G10*40)</f>
        <v>913.2470179324373</v>
      </c>
      <c r="G83" t="s">
        <v>67</v>
      </c>
      <c r="H83" s="21" t="s">
        <v>156</v>
      </c>
    </row>
    <row r="84" spans="2:8" ht="12.75">
      <c r="B84" s="391"/>
      <c r="C84" s="391"/>
      <c r="D84" s="8" t="s">
        <v>243</v>
      </c>
      <c r="E84" s="5">
        <f>C8</f>
        <v>694.2451989344896</v>
      </c>
      <c r="F84" s="27">
        <f>SUM(E24:E81)-(G10*33)</f>
        <v>928.3393048657672</v>
      </c>
      <c r="G84" t="s">
        <v>68</v>
      </c>
      <c r="H84" s="21" t="s">
        <v>190</v>
      </c>
    </row>
    <row r="85" spans="2:8" ht="12.75">
      <c r="B85" s="389" t="s">
        <v>298</v>
      </c>
      <c r="C85" s="389"/>
      <c r="D85" s="8" t="s">
        <v>244</v>
      </c>
      <c r="E85" s="3">
        <f>C7</f>
        <v>701.9550008653873</v>
      </c>
      <c r="F85" s="27">
        <f>SUM(E24:E69)-(G10*26)</f>
        <v>943.4315917991007</v>
      </c>
      <c r="G85" t="s">
        <v>69</v>
      </c>
      <c r="H85" s="21" t="s">
        <v>191</v>
      </c>
    </row>
    <row r="86" spans="2:8" ht="12.75">
      <c r="B86" s="389" t="s">
        <v>261</v>
      </c>
      <c r="C86" s="389"/>
      <c r="D86" s="8" t="s">
        <v>245</v>
      </c>
      <c r="E86" s="3">
        <f>C7</f>
        <v>701.9550008653873</v>
      </c>
      <c r="F86" s="27">
        <f>SUM(E24:E57)-(G10*19)</f>
        <v>958.5238787324743</v>
      </c>
      <c r="G86" t="s">
        <v>70</v>
      </c>
      <c r="H86" s="21" t="s">
        <v>192</v>
      </c>
    </row>
    <row r="87" spans="2:8" ht="12.75">
      <c r="B87" s="389"/>
      <c r="C87" s="389"/>
      <c r="D87" s="8" t="s">
        <v>246</v>
      </c>
      <c r="E87" s="5">
        <f>C8</f>
        <v>694.2451989344896</v>
      </c>
      <c r="F87" s="27">
        <f>SUM(E24:E45)-(G10*12)</f>
        <v>973.616165665846</v>
      </c>
      <c r="G87" t="s">
        <v>71</v>
      </c>
      <c r="H87" s="21" t="s">
        <v>194</v>
      </c>
    </row>
    <row r="88" spans="2:8" ht="12.75">
      <c r="B88" s="389" t="s">
        <v>274</v>
      </c>
      <c r="C88" s="389"/>
      <c r="D88" s="8" t="s">
        <v>247</v>
      </c>
      <c r="E88" s="3">
        <f>C7</f>
        <v>701.9550008653873</v>
      </c>
      <c r="F88" s="27">
        <f>SUM(E24:E33)-(G10*5)</f>
        <v>988.7084525991995</v>
      </c>
      <c r="G88" t="s">
        <v>72</v>
      </c>
      <c r="H88" s="21" t="s">
        <v>193</v>
      </c>
    </row>
    <row r="89" spans="2:8" ht="12.75">
      <c r="B89" s="389" t="s">
        <v>267</v>
      </c>
      <c r="C89" s="389"/>
      <c r="D89" s="8" t="s">
        <v>248</v>
      </c>
      <c r="E89" s="5">
        <f>C8</f>
        <v>694.2451989344896</v>
      </c>
      <c r="F89" s="27">
        <f>SUM(E24:E100)-(G10*44)</f>
        <v>1003.8007395325985</v>
      </c>
      <c r="G89" t="s">
        <v>73</v>
      </c>
      <c r="H89" s="21" t="s">
        <v>195</v>
      </c>
    </row>
    <row r="90" spans="2:8" ht="12.75">
      <c r="B90" s="389"/>
      <c r="C90" s="389"/>
      <c r="D90" s="8" t="s">
        <v>249</v>
      </c>
      <c r="E90" s="3">
        <f>C7</f>
        <v>701.9550008653873</v>
      </c>
      <c r="F90" s="27">
        <f>SUM(E24:E88)-(G10*37)</f>
        <v>1018.8930264659284</v>
      </c>
      <c r="G90" t="s">
        <v>74</v>
      </c>
      <c r="H90" s="21" t="s">
        <v>196</v>
      </c>
    </row>
    <row r="91" spans="2:8" ht="12.75">
      <c r="B91" s="389" t="s">
        <v>323</v>
      </c>
      <c r="C91" s="389"/>
      <c r="D91" s="8" t="s">
        <v>250</v>
      </c>
      <c r="E91" s="3">
        <f>C7</f>
        <v>701.9550008653873</v>
      </c>
      <c r="F91" s="27">
        <f>SUM(E24:E76)-(G10*30)</f>
        <v>1033.9853133992656</v>
      </c>
      <c r="G91" t="s">
        <v>75</v>
      </c>
      <c r="H91" s="21" t="s">
        <v>197</v>
      </c>
    </row>
    <row r="92" spans="2:8" ht="12.75">
      <c r="B92" s="389" t="s">
        <v>335</v>
      </c>
      <c r="C92" s="389"/>
      <c r="D92" s="8" t="s">
        <v>251</v>
      </c>
      <c r="E92" s="5">
        <f>C8</f>
        <v>694.2451989344896</v>
      </c>
      <c r="F92" s="27">
        <f>SUM(E24:E64)-(G10*23)</f>
        <v>1049.0776003326173</v>
      </c>
      <c r="G92" t="s">
        <v>76</v>
      </c>
      <c r="H92" s="21" t="s">
        <v>198</v>
      </c>
    </row>
    <row r="93" spans="2:8" ht="12.75">
      <c r="B93" s="389" t="s">
        <v>319</v>
      </c>
      <c r="C93" s="389"/>
      <c r="D93" s="8" t="s">
        <v>252</v>
      </c>
      <c r="E93" s="3">
        <f>C7</f>
        <v>701.9550008653873</v>
      </c>
      <c r="F93" s="27">
        <f>SUM(E24:E52)-(G10*16)</f>
        <v>1064.1698872659908</v>
      </c>
      <c r="G93" t="s">
        <v>77</v>
      </c>
      <c r="H93" s="21" t="s">
        <v>199</v>
      </c>
    </row>
    <row r="94" spans="2:8" ht="12.75">
      <c r="B94" s="389" t="s">
        <v>324</v>
      </c>
      <c r="C94" s="389"/>
      <c r="D94" s="8" t="s">
        <v>253</v>
      </c>
      <c r="E94" s="5">
        <f>C8</f>
        <v>694.2451989344896</v>
      </c>
      <c r="F94" s="27">
        <f>SUM(E24:E40)-(G10*9)</f>
        <v>1079.2621741993535</v>
      </c>
      <c r="G94" t="s">
        <v>78</v>
      </c>
      <c r="H94" s="21" t="s">
        <v>200</v>
      </c>
    </row>
    <row r="95" spans="2:8" ht="12.75">
      <c r="B95" s="390"/>
      <c r="C95" s="390"/>
      <c r="D95" s="8" t="s">
        <v>254</v>
      </c>
      <c r="E95" s="3">
        <f>C7</f>
        <v>701.9550008653873</v>
      </c>
      <c r="F95" s="28">
        <f>SUM(E24:E28)-(G10*2)</f>
        <v>1094.3544611327075</v>
      </c>
      <c r="G95" s="29" t="s">
        <v>79</v>
      </c>
      <c r="H95" s="25" t="s">
        <v>312</v>
      </c>
    </row>
    <row r="96" spans="2:8" ht="12.75">
      <c r="B96" s="389" t="s">
        <v>266</v>
      </c>
      <c r="C96" s="389"/>
      <c r="D96" s="8" t="s">
        <v>255</v>
      </c>
      <c r="E96" s="5">
        <f>C8</f>
        <v>694.2451989344896</v>
      </c>
      <c r="F96" s="27">
        <f>SUM(E24:E95)-(G10*41)</f>
        <v>1109.446748066097</v>
      </c>
      <c r="G96" t="s">
        <v>80</v>
      </c>
      <c r="H96" s="21" t="s">
        <v>201</v>
      </c>
    </row>
    <row r="97" spans="2:8" ht="12.75">
      <c r="B97" s="390"/>
      <c r="C97" s="390"/>
      <c r="D97" s="8" t="s">
        <v>256</v>
      </c>
      <c r="E97" s="3">
        <f>C7</f>
        <v>701.9550008653873</v>
      </c>
      <c r="F97" s="27">
        <f>SUM(E24:E83)-(G10*34)</f>
        <v>1124.5390349994268</v>
      </c>
      <c r="G97" t="s">
        <v>81</v>
      </c>
      <c r="H97" s="21" t="s">
        <v>202</v>
      </c>
    </row>
    <row r="98" spans="2:8" ht="12.75">
      <c r="B98" s="390"/>
      <c r="C98" s="390"/>
      <c r="D98" s="8" t="s">
        <v>257</v>
      </c>
      <c r="E98" s="3">
        <f>C7</f>
        <v>701.9550008653873</v>
      </c>
      <c r="F98" s="27">
        <f>SUM(E24:E71)-(G10*27)</f>
        <v>1139.6313219327603</v>
      </c>
      <c r="G98" t="s">
        <v>82</v>
      </c>
      <c r="H98" s="21" t="s">
        <v>203</v>
      </c>
    </row>
    <row r="99" spans="2:8" ht="12.75">
      <c r="B99" s="389" t="s">
        <v>273</v>
      </c>
      <c r="C99" s="389"/>
      <c r="D99" s="8" t="s">
        <v>258</v>
      </c>
      <c r="E99" s="5">
        <f>C8</f>
        <v>694.2451989344896</v>
      </c>
      <c r="F99" s="27">
        <f>SUM(E24:E59)-(G10*20)</f>
        <v>1154.7236088661339</v>
      </c>
      <c r="G99" t="s">
        <v>83</v>
      </c>
      <c r="H99" s="21" t="s">
        <v>204</v>
      </c>
    </row>
    <row r="100" spans="2:8" ht="12.75">
      <c r="B100" s="389" t="s">
        <v>285</v>
      </c>
      <c r="C100" s="389"/>
      <c r="D100" s="8" t="s">
        <v>259</v>
      </c>
      <c r="E100" s="3">
        <f>C7</f>
        <v>701.9550008653873</v>
      </c>
      <c r="F100" s="27">
        <f>SUM(E24:E47)-(G10*13)</f>
        <v>1169.8158957995074</v>
      </c>
      <c r="G100" t="s">
        <v>84</v>
      </c>
      <c r="H100" s="21" t="s">
        <v>205</v>
      </c>
    </row>
    <row r="101" spans="2:8" ht="12.75">
      <c r="B101" s="389" t="s">
        <v>336</v>
      </c>
      <c r="C101" s="389"/>
      <c r="D101" s="8" t="s">
        <v>260</v>
      </c>
      <c r="E101" s="5">
        <f>C8</f>
        <v>694.2451989344896</v>
      </c>
      <c r="F101" s="27">
        <f>SUM(E24:E35)-(G10*6)</f>
        <v>1184.90818273286</v>
      </c>
      <c r="G101" t="s">
        <v>85</v>
      </c>
      <c r="H101" s="21" t="s">
        <v>206</v>
      </c>
    </row>
    <row r="102" spans="2:8" ht="12.75">
      <c r="B102" s="389" t="s">
        <v>337</v>
      </c>
      <c r="C102" s="389"/>
      <c r="D102" s="8" t="s">
        <v>94</v>
      </c>
      <c r="E102" s="3">
        <f>C7</f>
        <v>701.9550008653873</v>
      </c>
      <c r="F102" s="28">
        <f>SUM(E24:E102)-(G10*45)</f>
        <v>1200.0004696662654</v>
      </c>
      <c r="G102" s="29" t="s">
        <v>86</v>
      </c>
      <c r="H102" s="25" t="s">
        <v>157</v>
      </c>
    </row>
    <row r="103" spans="2:8" ht="12.75">
      <c r="B103" s="38"/>
      <c r="D103" s="8"/>
      <c r="E103" s="3"/>
      <c r="F103" s="64"/>
      <c r="G103" s="65"/>
      <c r="H103" s="66"/>
    </row>
    <row r="104" spans="4:8" ht="12.75">
      <c r="D104" s="8"/>
      <c r="E104" s="3"/>
      <c r="F104" s="1"/>
      <c r="H104" s="14"/>
    </row>
    <row r="105" spans="4:8" ht="12.75">
      <c r="D105" s="8"/>
      <c r="E105" s="67" t="s">
        <v>350</v>
      </c>
      <c r="F105" s="1"/>
      <c r="H105" s="14"/>
    </row>
    <row r="106" spans="2:8" ht="12.75">
      <c r="B106" s="9" t="s">
        <v>342</v>
      </c>
      <c r="D106" s="9" t="s">
        <v>349</v>
      </c>
      <c r="E106" s="9" t="s">
        <v>348</v>
      </c>
      <c r="F106" s="388" t="s">
        <v>331</v>
      </c>
      <c r="G106" s="388"/>
      <c r="H106" s="388"/>
    </row>
    <row r="107" spans="2:8" ht="12.75">
      <c r="B107" s="9" t="s">
        <v>332</v>
      </c>
      <c r="C107" s="9" t="s">
        <v>347</v>
      </c>
      <c r="D107" s="9" t="s">
        <v>343</v>
      </c>
      <c r="E107" s="9" t="s">
        <v>351</v>
      </c>
      <c r="F107" s="388" t="s">
        <v>327</v>
      </c>
      <c r="G107" s="388"/>
      <c r="H107" s="388"/>
    </row>
    <row r="108" ht="12.75">
      <c r="H108" s="14"/>
    </row>
    <row r="109" spans="2:8" ht="12.75">
      <c r="B109" s="53" t="s">
        <v>276</v>
      </c>
      <c r="C109" s="46" t="s">
        <v>87</v>
      </c>
      <c r="D109" s="39" t="str">
        <f aca="true" t="shared" si="0" ref="D109:D140">F23</f>
        <v>0 (cents)</v>
      </c>
      <c r="E109" s="59" t="s">
        <v>316</v>
      </c>
      <c r="F109" s="57" t="s">
        <v>89</v>
      </c>
      <c r="G109" s="58" t="s">
        <v>286</v>
      </c>
      <c r="H109" s="57" t="s">
        <v>577</v>
      </c>
    </row>
    <row r="110" spans="2:8" ht="12.75">
      <c r="B110" s="43">
        <f aca="true" t="shared" si="1" ref="B110:B141">10^((LOG10(2))*(D110/1200))</f>
        <v>1.0087557561235212</v>
      </c>
      <c r="C110" s="47" t="s">
        <v>8</v>
      </c>
      <c r="D110" s="40">
        <f t="shared" si="0"/>
        <v>15.09228693338082</v>
      </c>
      <c r="E110" s="50">
        <f>D110</f>
        <v>15.09228693338082</v>
      </c>
      <c r="F110" s="60">
        <f aca="true" t="shared" si="2" ref="F110:F141">LOG(LEFT(G110,FIND("/",G110)-1)/RIGHT(G110,LEN(G110)-FIND("/",G110)),2)*1200</f>
        <v>21.50628959671478</v>
      </c>
      <c r="G110" s="74" t="s">
        <v>287</v>
      </c>
      <c r="H110" s="70">
        <f aca="true" t="shared" si="3" ref="H110:H141">(D110-F110)</f>
        <v>-6.41400266333396</v>
      </c>
    </row>
    <row r="111" spans="2:8" ht="12.75">
      <c r="B111" s="43">
        <f t="shared" si="1"/>
        <v>1.017588175512307</v>
      </c>
      <c r="C111" s="47" t="s">
        <v>9</v>
      </c>
      <c r="D111" s="40">
        <f t="shared" si="0"/>
        <v>30.184573866710707</v>
      </c>
      <c r="E111" s="50">
        <f aca="true" t="shared" si="4" ref="E111:E142">D111-D110</f>
        <v>15.092286933329888</v>
      </c>
      <c r="F111" s="60">
        <f t="shared" si="2"/>
        <v>27.26409180010014</v>
      </c>
      <c r="G111" s="74" t="s">
        <v>288</v>
      </c>
      <c r="H111" s="70">
        <f t="shared" si="3"/>
        <v>2.9204820666105675</v>
      </c>
    </row>
    <row r="112" spans="2:8" ht="12.75">
      <c r="B112" s="43">
        <f t="shared" si="1"/>
        <v>1.0264979294112502</v>
      </c>
      <c r="C112" s="47" t="s">
        <v>10</v>
      </c>
      <c r="D112" s="40">
        <f t="shared" si="0"/>
        <v>45.27686080005515</v>
      </c>
      <c r="E112" s="50">
        <f t="shared" si="4"/>
        <v>15.09228693334444</v>
      </c>
      <c r="F112" s="60">
        <f t="shared" si="2"/>
        <v>41.058858405495585</v>
      </c>
      <c r="G112" s="74" t="s">
        <v>289</v>
      </c>
      <c r="H112" s="70">
        <f t="shared" si="3"/>
        <v>4.218002394559562</v>
      </c>
    </row>
    <row r="113" spans="2:8" ht="12.75">
      <c r="B113" s="43">
        <f t="shared" si="1"/>
        <v>1.0354856949424724</v>
      </c>
      <c r="C113" s="47" t="s">
        <v>11</v>
      </c>
      <c r="D113" s="40">
        <f t="shared" si="0"/>
        <v>60.36914773343233</v>
      </c>
      <c r="E113" s="50">
        <f t="shared" si="4"/>
        <v>15.092286933377181</v>
      </c>
      <c r="F113" s="60">
        <f t="shared" si="2"/>
        <v>62.960903872962575</v>
      </c>
      <c r="G113" s="74" t="s">
        <v>627</v>
      </c>
      <c r="H113" s="70">
        <f t="shared" si="3"/>
        <v>-2.591756139530247</v>
      </c>
    </row>
    <row r="114" spans="2:8" ht="12.75">
      <c r="B114" s="43">
        <f t="shared" si="1"/>
        <v>1.0445521551567738</v>
      </c>
      <c r="C114" s="47" t="s">
        <v>12</v>
      </c>
      <c r="D114" s="40">
        <f t="shared" si="0"/>
        <v>75.46143466679678</v>
      </c>
      <c r="E114" s="50">
        <f t="shared" si="4"/>
        <v>15.092286933364448</v>
      </c>
      <c r="F114" s="60">
        <f t="shared" si="2"/>
        <v>70.67242686428234</v>
      </c>
      <c r="G114" s="74" t="s">
        <v>290</v>
      </c>
      <c r="H114" s="70">
        <f t="shared" si="3"/>
        <v>4.789007802514433</v>
      </c>
    </row>
    <row r="115" spans="2:8" ht="12.75">
      <c r="B115" s="43">
        <f t="shared" si="1"/>
        <v>1.0536979990856086</v>
      </c>
      <c r="C115" s="47" t="s">
        <v>13</v>
      </c>
      <c r="D115" s="40">
        <f t="shared" si="0"/>
        <v>90.55372160015031</v>
      </c>
      <c r="E115" s="50">
        <f t="shared" si="4"/>
        <v>15.092286933353535</v>
      </c>
      <c r="F115" s="60">
        <f t="shared" si="2"/>
        <v>90.22499567306306</v>
      </c>
      <c r="G115" s="74" t="s">
        <v>291</v>
      </c>
      <c r="H115" s="70">
        <f t="shared" si="3"/>
        <v>0.32872592708724824</v>
      </c>
    </row>
    <row r="116" spans="2:8" ht="12.75">
      <c r="B116" s="43">
        <f t="shared" si="1"/>
        <v>1.0629239217934556</v>
      </c>
      <c r="C116" s="47" t="s">
        <v>14</v>
      </c>
      <c r="D116" s="40">
        <f t="shared" si="0"/>
        <v>105.64600853354932</v>
      </c>
      <c r="E116" s="50">
        <f t="shared" si="4"/>
        <v>15.09228693339901</v>
      </c>
      <c r="F116" s="60">
        <f t="shared" si="2"/>
        <v>111.73128526977776</v>
      </c>
      <c r="G116" s="74" t="s">
        <v>134</v>
      </c>
      <c r="H116" s="70">
        <f t="shared" si="3"/>
        <v>-6.085276736228437</v>
      </c>
    </row>
    <row r="117" spans="2:8" ht="12.75">
      <c r="B117" s="43">
        <f t="shared" si="1"/>
        <v>1.0722306244305044</v>
      </c>
      <c r="C117" s="47" t="s">
        <v>15</v>
      </c>
      <c r="D117" s="40">
        <f t="shared" si="0"/>
        <v>120.73829546687921</v>
      </c>
      <c r="E117" s="50">
        <f t="shared" si="4"/>
        <v>15.092286933329888</v>
      </c>
      <c r="F117" s="60">
        <f t="shared" si="2"/>
        <v>119.44280826109726</v>
      </c>
      <c r="G117" s="74" t="s">
        <v>135</v>
      </c>
      <c r="H117" s="70">
        <f t="shared" si="3"/>
        <v>1.2954872057819529</v>
      </c>
    </row>
    <row r="118" spans="2:8" ht="12.75">
      <c r="B118" s="43">
        <f t="shared" si="1"/>
        <v>1.081618814286157</v>
      </c>
      <c r="C118" s="47" t="s">
        <v>16</v>
      </c>
      <c r="D118" s="40">
        <f t="shared" si="0"/>
        <v>135.8305824002091</v>
      </c>
      <c r="E118" s="50">
        <f t="shared" si="4"/>
        <v>15.092286933329888</v>
      </c>
      <c r="F118" s="60">
        <f t="shared" si="2"/>
        <v>138.57266090392307</v>
      </c>
      <c r="G118" s="74" t="s">
        <v>292</v>
      </c>
      <c r="H118" s="70">
        <f t="shared" si="3"/>
        <v>-2.7420785037139694</v>
      </c>
    </row>
    <row r="119" spans="2:8" ht="12.75">
      <c r="B119" s="43">
        <f t="shared" si="1"/>
        <v>1.0910892048426473</v>
      </c>
      <c r="C119" s="47" t="s">
        <v>17</v>
      </c>
      <c r="D119" s="40">
        <f t="shared" si="0"/>
        <v>150.92286933357173</v>
      </c>
      <c r="E119" s="50">
        <f t="shared" si="4"/>
        <v>15.09228693336263</v>
      </c>
      <c r="F119" s="60">
        <f t="shared" si="2"/>
        <v>150.6370585006306</v>
      </c>
      <c r="G119" s="74" t="s">
        <v>137</v>
      </c>
      <c r="H119" s="70">
        <f t="shared" si="3"/>
        <v>0.28581083294113796</v>
      </c>
    </row>
    <row r="120" spans="2:8" ht="12.75">
      <c r="B120" s="43">
        <f t="shared" si="1"/>
        <v>1.1006425158292539</v>
      </c>
      <c r="C120" s="47" t="s">
        <v>18</v>
      </c>
      <c r="D120" s="40">
        <f t="shared" si="0"/>
        <v>166.0151562669489</v>
      </c>
      <c r="E120" s="50">
        <f t="shared" si="4"/>
        <v>15.092286933377181</v>
      </c>
      <c r="F120" s="60">
        <f t="shared" si="2"/>
        <v>165.00422849992202</v>
      </c>
      <c r="G120" s="74" t="s">
        <v>138</v>
      </c>
      <c r="H120" s="70">
        <f t="shared" si="3"/>
        <v>1.0109277670268852</v>
      </c>
    </row>
    <row r="121" spans="2:8" ht="12.75">
      <c r="B121" s="44">
        <f t="shared" si="1"/>
        <v>1.1102794732770174</v>
      </c>
      <c r="C121" s="47" t="s">
        <v>19</v>
      </c>
      <c r="D121" s="40">
        <f t="shared" si="0"/>
        <v>181.10744320030426</v>
      </c>
      <c r="E121" s="50">
        <f t="shared" si="4"/>
        <v>15.092286933355354</v>
      </c>
      <c r="F121" s="61">
        <f t="shared" si="2"/>
        <v>182.40371213406007</v>
      </c>
      <c r="G121" s="75" t="s">
        <v>139</v>
      </c>
      <c r="H121" s="71">
        <f t="shared" si="3"/>
        <v>-1.2962689337558118</v>
      </c>
    </row>
    <row r="122" spans="2:8" ht="12.75">
      <c r="B122" s="54">
        <f t="shared" si="1"/>
        <v>1.1200008095739664</v>
      </c>
      <c r="C122" s="48" t="s">
        <v>20</v>
      </c>
      <c r="D122" s="41">
        <f t="shared" si="0"/>
        <v>196.19973013366007</v>
      </c>
      <c r="E122" s="51">
        <f t="shared" si="4"/>
        <v>15.092286933355808</v>
      </c>
      <c r="F122" s="69">
        <f t="shared" si="2"/>
        <v>203.91000173077484</v>
      </c>
      <c r="G122" s="76" t="s">
        <v>140</v>
      </c>
      <c r="H122" s="72">
        <f t="shared" si="3"/>
        <v>-7.710271597114769</v>
      </c>
    </row>
    <row r="123" spans="2:8" ht="12.75">
      <c r="B123" s="45">
        <f t="shared" si="1"/>
        <v>1.1298072635207468</v>
      </c>
      <c r="C123" s="47" t="s">
        <v>21</v>
      </c>
      <c r="D123" s="40">
        <f t="shared" si="0"/>
        <v>211.2920170670477</v>
      </c>
      <c r="E123" s="50">
        <f t="shared" si="4"/>
        <v>15.09228693338764</v>
      </c>
      <c r="F123" s="62">
        <f t="shared" si="2"/>
        <v>203.91000173077484</v>
      </c>
      <c r="G123" s="77" t="s">
        <v>140</v>
      </c>
      <c r="H123" s="73">
        <f t="shared" si="3"/>
        <v>7.382015336272872</v>
      </c>
    </row>
    <row r="124" spans="2:8" ht="12.75">
      <c r="B124" s="43">
        <f t="shared" si="1"/>
        <v>1.1396995803866838</v>
      </c>
      <c r="C124" s="47" t="s">
        <v>22</v>
      </c>
      <c r="D124" s="40">
        <f t="shared" si="0"/>
        <v>226.3843040003776</v>
      </c>
      <c r="E124" s="50">
        <f t="shared" si="4"/>
        <v>15.092286933329888</v>
      </c>
      <c r="F124" s="60">
        <f t="shared" si="2"/>
        <v>231.17409353087498</v>
      </c>
      <c r="G124" s="74" t="s">
        <v>141</v>
      </c>
      <c r="H124" s="70">
        <f t="shared" si="3"/>
        <v>-4.789789530497387</v>
      </c>
    </row>
    <row r="125" spans="2:8" ht="12.75">
      <c r="B125" s="43">
        <f t="shared" si="1"/>
        <v>1.1496785119666002</v>
      </c>
      <c r="C125" s="47" t="s">
        <v>23</v>
      </c>
      <c r="D125" s="40">
        <f t="shared" si="0"/>
        <v>241.47659093371476</v>
      </c>
      <c r="E125" s="50">
        <f t="shared" si="4"/>
        <v>15.092286933337164</v>
      </c>
      <c r="F125" s="60">
        <f t="shared" si="2"/>
        <v>244.96886013627025</v>
      </c>
      <c r="G125" s="74" t="s">
        <v>161</v>
      </c>
      <c r="H125" s="70">
        <f t="shared" si="3"/>
        <v>-3.492269202555491</v>
      </c>
    </row>
    <row r="126" spans="2:8" ht="12.75">
      <c r="B126" s="43">
        <f t="shared" si="1"/>
        <v>1.1597448166378277</v>
      </c>
      <c r="C126" s="47" t="s">
        <v>24</v>
      </c>
      <c r="D126" s="40">
        <f t="shared" si="0"/>
        <v>256.5688778670883</v>
      </c>
      <c r="E126" s="50">
        <f t="shared" si="4"/>
        <v>15.092286933373543</v>
      </c>
      <c r="F126" s="60">
        <f t="shared" si="2"/>
        <v>252.68038312759006</v>
      </c>
      <c r="G126" s="74" t="s">
        <v>293</v>
      </c>
      <c r="H126" s="70">
        <f t="shared" si="3"/>
        <v>3.888494739498242</v>
      </c>
    </row>
    <row r="127" spans="2:8" ht="12.75">
      <c r="B127" s="43">
        <f t="shared" si="1"/>
        <v>1.169899259417819</v>
      </c>
      <c r="C127" s="47" t="s">
        <v>25</v>
      </c>
      <c r="D127" s="40">
        <f t="shared" si="0"/>
        <v>271.6611648004582</v>
      </c>
      <c r="E127" s="50">
        <f t="shared" si="4"/>
        <v>15.092286933369905</v>
      </c>
      <c r="F127" s="60">
        <f t="shared" si="2"/>
        <v>266.87090560373764</v>
      </c>
      <c r="G127" s="74" t="s">
        <v>159</v>
      </c>
      <c r="H127" s="70">
        <f t="shared" si="3"/>
        <v>4.790259196720569</v>
      </c>
    </row>
    <row r="128" spans="2:8" ht="12.75">
      <c r="B128" s="43">
        <f t="shared" si="1"/>
        <v>1.180142612022351</v>
      </c>
      <c r="C128" s="47" t="s">
        <v>26</v>
      </c>
      <c r="D128" s="40">
        <f t="shared" si="0"/>
        <v>286.75345173381174</v>
      </c>
      <c r="E128" s="50">
        <f t="shared" si="4"/>
        <v>15.092286933353535</v>
      </c>
      <c r="F128" s="60">
        <f t="shared" si="2"/>
        <v>289.209719404554</v>
      </c>
      <c r="G128" s="74" t="s">
        <v>294</v>
      </c>
      <c r="H128" s="70">
        <f t="shared" si="3"/>
        <v>-2.4562676707422497</v>
      </c>
    </row>
    <row r="129" spans="2:8" ht="12.75">
      <c r="B129" s="43">
        <f t="shared" si="1"/>
        <v>1.1904756529242053</v>
      </c>
      <c r="C129" s="47" t="s">
        <v>27</v>
      </c>
      <c r="D129" s="40">
        <f t="shared" si="0"/>
        <v>301.84573866720893</v>
      </c>
      <c r="E129" s="50">
        <f t="shared" si="4"/>
        <v>15.09228693339719</v>
      </c>
      <c r="F129" s="60">
        <f t="shared" si="2"/>
        <v>302.86459396114236</v>
      </c>
      <c r="G129" s="74" t="s">
        <v>295</v>
      </c>
      <c r="H129" s="70">
        <f t="shared" si="3"/>
        <v>-1.0188552939334272</v>
      </c>
    </row>
    <row r="130" spans="2:8" ht="12.75">
      <c r="B130" s="43">
        <f t="shared" si="1"/>
        <v>1.200899167412164</v>
      </c>
      <c r="C130" s="47" t="s">
        <v>28</v>
      </c>
      <c r="D130" s="40">
        <f t="shared" si="0"/>
        <v>316.9380256005388</v>
      </c>
      <c r="E130" s="50">
        <f t="shared" si="4"/>
        <v>15.092286933329888</v>
      </c>
      <c r="F130" s="60">
        <f t="shared" si="2"/>
        <v>315.64128700055255</v>
      </c>
      <c r="G130" s="74" t="s">
        <v>144</v>
      </c>
      <c r="H130" s="70">
        <f t="shared" si="3"/>
        <v>1.29673859998627</v>
      </c>
    </row>
    <row r="131" spans="2:8" ht="12.75">
      <c r="B131" s="43">
        <f t="shared" si="1"/>
        <v>1.2114139476509342</v>
      </c>
      <c r="C131" s="47" t="s">
        <v>29</v>
      </c>
      <c r="D131" s="40">
        <f t="shared" si="0"/>
        <v>332.030312533876</v>
      </c>
      <c r="E131" s="50">
        <f t="shared" si="4"/>
        <v>15.092286933337164</v>
      </c>
      <c r="F131" s="60">
        <f t="shared" si="2"/>
        <v>336.12950303128224</v>
      </c>
      <c r="G131" s="74" t="s">
        <v>145</v>
      </c>
      <c r="H131" s="70">
        <f t="shared" si="3"/>
        <v>-4.099190497406255</v>
      </c>
    </row>
    <row r="132" spans="2:8" ht="12.75">
      <c r="B132" s="43">
        <f t="shared" si="1"/>
        <v>1.22202079274118</v>
      </c>
      <c r="C132" s="47" t="s">
        <v>30</v>
      </c>
      <c r="D132" s="40">
        <f t="shared" si="0"/>
        <v>347.12259946723134</v>
      </c>
      <c r="E132" s="50">
        <f t="shared" si="4"/>
        <v>15.092286933355354</v>
      </c>
      <c r="F132" s="60">
        <f t="shared" si="2"/>
        <v>347.40794063398204</v>
      </c>
      <c r="G132" s="74" t="s">
        <v>146</v>
      </c>
      <c r="H132" s="70">
        <f t="shared" si="3"/>
        <v>-0.28534116675069754</v>
      </c>
    </row>
    <row r="133" spans="2:8" ht="12.75">
      <c r="B133" s="43">
        <f t="shared" si="1"/>
        <v>1.2327205087802886</v>
      </c>
      <c r="C133" s="47" t="s">
        <v>31</v>
      </c>
      <c r="D133" s="40">
        <f t="shared" si="0"/>
        <v>362.2148864006049</v>
      </c>
      <c r="E133" s="50">
        <f t="shared" si="4"/>
        <v>15.092286933373543</v>
      </c>
      <c r="F133" s="60">
        <f t="shared" si="2"/>
        <v>365.82549783410514</v>
      </c>
      <c r="G133" s="74" t="s">
        <v>296</v>
      </c>
      <c r="H133" s="70">
        <f t="shared" si="3"/>
        <v>-3.610611433500253</v>
      </c>
    </row>
    <row r="134" spans="2:8" ht="12.75">
      <c r="B134" s="44">
        <f t="shared" si="1"/>
        <v>1.2435139089236176</v>
      </c>
      <c r="C134" s="47" t="s">
        <v>32</v>
      </c>
      <c r="D134" s="40">
        <f t="shared" si="0"/>
        <v>377.3071733339657</v>
      </c>
      <c r="E134" s="50">
        <f t="shared" si="4"/>
        <v>15.09228693336081</v>
      </c>
      <c r="F134" s="61">
        <f t="shared" si="2"/>
        <v>372.4081447345806</v>
      </c>
      <c r="G134" s="75" t="s">
        <v>630</v>
      </c>
      <c r="H134" s="71">
        <f t="shared" si="3"/>
        <v>4.899028599385076</v>
      </c>
    </row>
    <row r="135" spans="2:8" ht="12.75">
      <c r="B135" s="54">
        <f t="shared" si="1"/>
        <v>1.2544018134463402</v>
      </c>
      <c r="C135" s="48" t="s">
        <v>33</v>
      </c>
      <c r="D135" s="41">
        <f t="shared" si="0"/>
        <v>392.39946026732014</v>
      </c>
      <c r="E135" s="51">
        <f t="shared" si="4"/>
        <v>15.092286933354444</v>
      </c>
      <c r="F135" s="69">
        <f t="shared" si="2"/>
        <v>386.3137138648348</v>
      </c>
      <c r="G135" s="76" t="s">
        <v>149</v>
      </c>
      <c r="H135" s="72">
        <f t="shared" si="3"/>
        <v>6.085746402485313</v>
      </c>
    </row>
    <row r="136" spans="2:8" ht="12.75">
      <c r="B136" s="45">
        <f t="shared" si="1"/>
        <v>1.265385049805784</v>
      </c>
      <c r="C136" s="47" t="s">
        <v>34</v>
      </c>
      <c r="D136" s="40">
        <f t="shared" si="0"/>
        <v>407.4917472007073</v>
      </c>
      <c r="E136" s="50">
        <f t="shared" si="4"/>
        <v>15.092286933387186</v>
      </c>
      <c r="F136" s="62">
        <f t="shared" si="2"/>
        <v>407.8200034615497</v>
      </c>
      <c r="G136" s="77" t="s">
        <v>150</v>
      </c>
      <c r="H136" s="73">
        <f t="shared" si="3"/>
        <v>-0.3282562608423518</v>
      </c>
    </row>
    <row r="137" spans="2:8" ht="12.75">
      <c r="B137" s="43">
        <f t="shared" si="1"/>
        <v>1.2764644527041955</v>
      </c>
      <c r="C137" s="47" t="s">
        <v>35</v>
      </c>
      <c r="D137" s="40">
        <f t="shared" si="0"/>
        <v>422.5840341340372</v>
      </c>
      <c r="E137" s="50">
        <f t="shared" si="4"/>
        <v>15.092286933329888</v>
      </c>
      <c r="F137" s="60">
        <f t="shared" si="2"/>
        <v>424.3643455376405</v>
      </c>
      <c r="G137" s="74" t="s">
        <v>297</v>
      </c>
      <c r="H137" s="70">
        <f t="shared" si="3"/>
        <v>-1.780311403603264</v>
      </c>
    </row>
    <row r="138" spans="2:8" ht="12.75">
      <c r="B138" s="43">
        <f t="shared" si="1"/>
        <v>1.2876408641523822</v>
      </c>
      <c r="C138" s="47" t="s">
        <v>36</v>
      </c>
      <c r="D138" s="40">
        <f t="shared" si="0"/>
        <v>437.67632106737074</v>
      </c>
      <c r="E138" s="50">
        <f t="shared" si="4"/>
        <v>15.092286933333526</v>
      </c>
      <c r="F138" s="60">
        <f t="shared" si="2"/>
        <v>435.0840952616501</v>
      </c>
      <c r="G138" s="74" t="s">
        <v>164</v>
      </c>
      <c r="H138" s="70">
        <f t="shared" si="3"/>
        <v>2.592225805720659</v>
      </c>
    </row>
    <row r="139" spans="2:8" ht="12.75">
      <c r="B139" s="43">
        <f t="shared" si="1"/>
        <v>1.298915133533578</v>
      </c>
      <c r="C139" s="47" t="s">
        <v>37</v>
      </c>
      <c r="D139" s="40">
        <f t="shared" si="0"/>
        <v>452.7686080007479</v>
      </c>
      <c r="E139" s="50">
        <f t="shared" si="4"/>
        <v>15.092286933377181</v>
      </c>
      <c r="F139" s="60">
        <f t="shared" si="2"/>
        <v>449.2746177377975</v>
      </c>
      <c r="G139" s="74" t="s">
        <v>628</v>
      </c>
      <c r="H139" s="70">
        <f t="shared" si="3"/>
        <v>3.493990262950433</v>
      </c>
    </row>
    <row r="140" spans="2:8" ht="12.75">
      <c r="B140" s="43">
        <f t="shared" si="1"/>
        <v>1.3102881176679422</v>
      </c>
      <c r="C140" s="47" t="s">
        <v>38</v>
      </c>
      <c r="D140" s="40">
        <f t="shared" si="0"/>
        <v>467.86089493411964</v>
      </c>
      <c r="E140" s="50">
        <f t="shared" si="4"/>
        <v>15.092286933371724</v>
      </c>
      <c r="F140" s="60">
        <f t="shared" si="2"/>
        <v>470.7809073345124</v>
      </c>
      <c r="G140" s="74" t="s">
        <v>166</v>
      </c>
      <c r="H140" s="70">
        <f t="shared" si="3"/>
        <v>-2.92001240039275</v>
      </c>
    </row>
    <row r="141" spans="2:8" ht="12.75">
      <c r="B141" s="44">
        <f t="shared" si="1"/>
        <v>1.3217606808777689</v>
      </c>
      <c r="C141" s="47" t="s">
        <v>39</v>
      </c>
      <c r="D141" s="40">
        <f aca="true" t="shared" si="5" ref="D141:D172">F55</f>
        <v>482.95318186747227</v>
      </c>
      <c r="E141" s="50">
        <f t="shared" si="4"/>
        <v>15.092286933352625</v>
      </c>
      <c r="F141" s="61">
        <f t="shared" si="2"/>
        <v>480.64551550047463</v>
      </c>
      <c r="G141" s="75" t="s">
        <v>167</v>
      </c>
      <c r="H141" s="71">
        <f t="shared" si="3"/>
        <v>2.307666366997637</v>
      </c>
    </row>
    <row r="142" spans="2:8" ht="12.75">
      <c r="B142" s="54">
        <f aca="true" t="shared" si="6" ref="B142:B173">10^((LOG10(2))*(D142/1200))</f>
        <v>1.3333336950532115</v>
      </c>
      <c r="C142" s="48" t="s">
        <v>40</v>
      </c>
      <c r="D142" s="41">
        <f t="shared" si="5"/>
        <v>498.0454688008758</v>
      </c>
      <c r="E142" s="51">
        <f t="shared" si="4"/>
        <v>15.092286933403557</v>
      </c>
      <c r="F142" s="69">
        <f aca="true" t="shared" si="7" ref="F142:F173">LOG(LEFT(G142,FIND("/",G142)-1)/RIGHT(G142,LEN(G142)-FIND("/",G142)),2)*1200</f>
        <v>498.04499913461245</v>
      </c>
      <c r="G142" s="76" t="s">
        <v>152</v>
      </c>
      <c r="H142" s="72">
        <f aca="true" t="shared" si="8" ref="H142:H173">(D142-F142)</f>
        <v>0.0004696662633705273</v>
      </c>
    </row>
    <row r="143" spans="2:8" ht="12.75">
      <c r="B143" s="45">
        <f t="shared" si="6"/>
        <v>1.3450080397183313</v>
      </c>
      <c r="C143" s="47" t="s">
        <v>41</v>
      </c>
      <c r="D143" s="40">
        <f t="shared" si="5"/>
        <v>513.1377557342057</v>
      </c>
      <c r="E143" s="50">
        <f aca="true" t="shared" si="9" ref="E143:E174">D143-D142</f>
        <v>15.092286933329888</v>
      </c>
      <c r="F143" s="62">
        <f t="shared" si="7"/>
        <v>519.5512887313275</v>
      </c>
      <c r="G143" s="77" t="s">
        <v>168</v>
      </c>
      <c r="H143" s="73">
        <f t="shared" si="8"/>
        <v>-6.41353299712182</v>
      </c>
    </row>
    <row r="144" spans="2:8" ht="12.75">
      <c r="B144" s="43">
        <f t="shared" si="6"/>
        <v>1.3567846020982404</v>
      </c>
      <c r="C144" s="47" t="s">
        <v>42</v>
      </c>
      <c r="D144" s="40">
        <f t="shared" si="5"/>
        <v>528.2300426675356</v>
      </c>
      <c r="E144" s="50">
        <f t="shared" si="9"/>
        <v>15.092286933329888</v>
      </c>
      <c r="F144" s="60">
        <f t="shared" si="7"/>
        <v>528.6871096631778</v>
      </c>
      <c r="G144" s="74" t="s">
        <v>629</v>
      </c>
      <c r="H144" s="70">
        <f t="shared" si="8"/>
        <v>-0.457066995642208</v>
      </c>
    </row>
    <row r="145" spans="2:8" ht="12.75">
      <c r="B145" s="43">
        <f t="shared" si="6"/>
        <v>1.3686642771863384</v>
      </c>
      <c r="C145" s="47" t="s">
        <v>43</v>
      </c>
      <c r="D145" s="40">
        <f t="shared" si="5"/>
        <v>543.3223296008873</v>
      </c>
      <c r="E145" s="50">
        <f t="shared" si="9"/>
        <v>15.092286933351716</v>
      </c>
      <c r="F145" s="60">
        <f t="shared" si="7"/>
        <v>543.014645637008</v>
      </c>
      <c r="G145" s="74" t="s">
        <v>631</v>
      </c>
      <c r="H145" s="70">
        <f t="shared" si="8"/>
        <v>0.30768396387929897</v>
      </c>
    </row>
    <row r="146" spans="2:8" ht="12.75">
      <c r="B146" s="43">
        <f t="shared" si="6"/>
        <v>1.3806479678123518</v>
      </c>
      <c r="C146" s="47" t="s">
        <v>44</v>
      </c>
      <c r="D146" s="40">
        <f t="shared" si="5"/>
        <v>558.4146165342609</v>
      </c>
      <c r="E146" s="50">
        <f t="shared" si="9"/>
        <v>15.092286933373543</v>
      </c>
      <c r="F146" s="60">
        <f t="shared" si="7"/>
        <v>551.3179423647567</v>
      </c>
      <c r="G146" s="74" t="s">
        <v>171</v>
      </c>
      <c r="H146" s="70">
        <f t="shared" si="8"/>
        <v>7.096674169504126</v>
      </c>
    </row>
    <row r="147" spans="2:8" ht="12.75">
      <c r="B147" s="43">
        <f t="shared" si="6"/>
        <v>1.3927365847109403</v>
      </c>
      <c r="C147" s="47" t="s">
        <v>45</v>
      </c>
      <c r="D147" s="40">
        <f t="shared" si="5"/>
        <v>573.5069034676271</v>
      </c>
      <c r="E147" s="50">
        <f t="shared" si="9"/>
        <v>15.092286933366267</v>
      </c>
      <c r="F147" s="60">
        <f t="shared" si="7"/>
        <v>568.7174259988948</v>
      </c>
      <c r="G147" s="74" t="s">
        <v>633</v>
      </c>
      <c r="H147" s="70">
        <f t="shared" si="8"/>
        <v>4.789477468732343</v>
      </c>
    </row>
    <row r="148" spans="2:8" ht="12.75">
      <c r="B148" s="43">
        <f t="shared" si="6"/>
        <v>1.4049310465909526</v>
      </c>
      <c r="C148" s="47" t="s">
        <v>46</v>
      </c>
      <c r="D148" s="40">
        <f t="shared" si="5"/>
        <v>588.5991904009802</v>
      </c>
      <c r="E148" s="50">
        <f t="shared" si="9"/>
        <v>15.09228693335308</v>
      </c>
      <c r="F148" s="60">
        <f t="shared" si="7"/>
        <v>582.51219260429</v>
      </c>
      <c r="G148" s="74" t="s">
        <v>632</v>
      </c>
      <c r="H148" s="70">
        <f t="shared" si="8"/>
        <v>6.086997796690184</v>
      </c>
    </row>
    <row r="149" spans="2:8" ht="12.75">
      <c r="B149" s="43">
        <f t="shared" si="6"/>
        <v>1.4172322802052773</v>
      </c>
      <c r="C149" s="47" t="s">
        <v>47</v>
      </c>
      <c r="D149" s="40">
        <f t="shared" si="5"/>
        <v>603.6914773343742</v>
      </c>
      <c r="E149" s="50">
        <f t="shared" si="9"/>
        <v>15.092286933394007</v>
      </c>
      <c r="F149" s="60">
        <f t="shared" si="7"/>
        <v>603.00040863502</v>
      </c>
      <c r="G149" s="74" t="s">
        <v>299</v>
      </c>
      <c r="H149" s="70">
        <f t="shared" si="8"/>
        <v>0.6910686993542186</v>
      </c>
    </row>
    <row r="150" spans="2:8" ht="12.75">
      <c r="B150" s="43">
        <f t="shared" si="6"/>
        <v>1.4296412204210946</v>
      </c>
      <c r="C150" s="47" t="s">
        <v>48</v>
      </c>
      <c r="D150" s="40">
        <f t="shared" si="5"/>
        <v>618.7837642677041</v>
      </c>
      <c r="E150" s="50">
        <f t="shared" si="9"/>
        <v>15.092286933329888</v>
      </c>
      <c r="F150" s="60">
        <f t="shared" si="7"/>
        <v>617.4878073957099</v>
      </c>
      <c r="G150" s="74" t="s">
        <v>175</v>
      </c>
      <c r="H150" s="70">
        <f t="shared" si="8"/>
        <v>1.2959568719942354</v>
      </c>
    </row>
    <row r="151" spans="2:8" ht="12.75">
      <c r="B151" s="43">
        <f t="shared" si="6"/>
        <v>1.4421588102911926</v>
      </c>
      <c r="C151" s="47" t="s">
        <v>49</v>
      </c>
      <c r="D151" s="40">
        <f t="shared" si="5"/>
        <v>633.876051201034</v>
      </c>
      <c r="E151" s="50">
        <f t="shared" si="9"/>
        <v>15.092286933329888</v>
      </c>
      <c r="F151" s="60">
        <f t="shared" si="7"/>
        <v>628.2743472684156</v>
      </c>
      <c r="G151" s="74" t="s">
        <v>634</v>
      </c>
      <c r="H151" s="70">
        <f t="shared" si="8"/>
        <v>5.60170393261842</v>
      </c>
    </row>
    <row r="152" spans="2:8" ht="12.75">
      <c r="B152" s="43">
        <f t="shared" si="6"/>
        <v>1.4547860011254807</v>
      </c>
      <c r="C152" s="47" t="s">
        <v>50</v>
      </c>
      <c r="D152" s="40">
        <f t="shared" si="5"/>
        <v>648.9683381344039</v>
      </c>
      <c r="E152" s="50">
        <f t="shared" si="9"/>
        <v>15.092286933369905</v>
      </c>
      <c r="F152" s="60">
        <f t="shared" si="7"/>
        <v>648.6820576352434</v>
      </c>
      <c r="G152" s="74" t="s">
        <v>300</v>
      </c>
      <c r="H152" s="70">
        <f t="shared" si="8"/>
        <v>0.2862804991605117</v>
      </c>
    </row>
    <row r="153" spans="2:8" ht="12.75">
      <c r="B153" s="43">
        <f t="shared" si="6"/>
        <v>1.4675237525632419</v>
      </c>
      <c r="C153" s="47" t="s">
        <v>51</v>
      </c>
      <c r="D153" s="40">
        <f t="shared" si="5"/>
        <v>664.0606250677774</v>
      </c>
      <c r="E153" s="50">
        <f t="shared" si="9"/>
        <v>15.092286933373543</v>
      </c>
      <c r="F153" s="60">
        <f t="shared" si="7"/>
        <v>663.0492276345343</v>
      </c>
      <c r="G153" s="74" t="s">
        <v>635</v>
      </c>
      <c r="H153" s="70">
        <f t="shared" si="8"/>
        <v>1.0113974332431326</v>
      </c>
    </row>
    <row r="154" spans="2:8" ht="12.75">
      <c r="B154" s="43">
        <f t="shared" si="6"/>
        <v>1.4803730326461386</v>
      </c>
      <c r="C154" s="47" t="s">
        <v>52</v>
      </c>
      <c r="D154" s="40">
        <f t="shared" si="5"/>
        <v>679.1529120011328</v>
      </c>
      <c r="E154" s="50">
        <f t="shared" si="9"/>
        <v>15.092286933355354</v>
      </c>
      <c r="F154" s="61">
        <f t="shared" si="7"/>
        <v>678.71661102507</v>
      </c>
      <c r="G154" s="75" t="s">
        <v>636</v>
      </c>
      <c r="H154" s="71">
        <f t="shared" si="8"/>
        <v>0.4363009760627392</v>
      </c>
    </row>
    <row r="155" spans="2:8" ht="12.75">
      <c r="B155" s="55">
        <f t="shared" si="6"/>
        <v>1.5</v>
      </c>
      <c r="C155" s="48" t="s">
        <v>53</v>
      </c>
      <c r="D155" s="41">
        <f t="shared" si="5"/>
        <v>701.9550008653873</v>
      </c>
      <c r="E155" s="51">
        <f t="shared" si="9"/>
        <v>22.80208886425453</v>
      </c>
      <c r="F155" s="69">
        <f t="shared" si="7"/>
        <v>701.9550008653874</v>
      </c>
      <c r="G155" s="76" t="s">
        <v>153</v>
      </c>
      <c r="H155" s="72">
        <f t="shared" si="8"/>
        <v>-1.1368683772161603E-13</v>
      </c>
    </row>
    <row r="156" spans="2:8" ht="12.75">
      <c r="B156" s="43">
        <f t="shared" si="6"/>
        <v>1.5131336341852837</v>
      </c>
      <c r="C156" s="47" t="s">
        <v>54</v>
      </c>
      <c r="D156" s="40">
        <f t="shared" si="5"/>
        <v>717.0472877987704</v>
      </c>
      <c r="E156" s="50">
        <f t="shared" si="9"/>
        <v>15.092286933383093</v>
      </c>
      <c r="F156" s="62">
        <f t="shared" si="7"/>
        <v>719.3544844995255</v>
      </c>
      <c r="G156" s="77" t="s">
        <v>180</v>
      </c>
      <c r="H156" s="73">
        <f t="shared" si="8"/>
        <v>-2.307196700755071</v>
      </c>
    </row>
    <row r="157" spans="2:8" ht="12.75">
      <c r="B157" s="43">
        <f t="shared" si="6"/>
        <v>1.5263822632684627</v>
      </c>
      <c r="C157" s="47" t="s">
        <v>55</v>
      </c>
      <c r="D157" s="40">
        <f t="shared" si="5"/>
        <v>732.1395747321003</v>
      </c>
      <c r="E157" s="50">
        <f t="shared" si="9"/>
        <v>15.092286933329888</v>
      </c>
      <c r="F157" s="60">
        <f t="shared" si="7"/>
        <v>732.064178020784</v>
      </c>
      <c r="G157" s="74" t="s">
        <v>637</v>
      </c>
      <c r="H157" s="70">
        <f t="shared" si="8"/>
        <v>0.07539671131632986</v>
      </c>
    </row>
    <row r="158" spans="2:8" ht="12.75">
      <c r="B158" s="43">
        <f t="shared" si="6"/>
        <v>1.5397468941168742</v>
      </c>
      <c r="C158" s="47" t="s">
        <v>56</v>
      </c>
      <c r="D158" s="40">
        <f t="shared" si="5"/>
        <v>747.2318616654411</v>
      </c>
      <c r="E158" s="50">
        <f t="shared" si="9"/>
        <v>15.092286933340802</v>
      </c>
      <c r="F158" s="60">
        <f t="shared" si="7"/>
        <v>745.7860520955244</v>
      </c>
      <c r="G158" s="74" t="s">
        <v>638</v>
      </c>
      <c r="H158" s="70">
        <f t="shared" si="8"/>
        <v>1.4458095699167188</v>
      </c>
    </row>
    <row r="159" spans="2:8" ht="12.75">
      <c r="B159" s="43">
        <f t="shared" si="6"/>
        <v>1.5532285424137076</v>
      </c>
      <c r="C159" s="47" t="s">
        <v>57</v>
      </c>
      <c r="D159" s="40">
        <f t="shared" si="5"/>
        <v>762.3241485988183</v>
      </c>
      <c r="E159" s="50">
        <f t="shared" si="9"/>
        <v>15.092286933377181</v>
      </c>
      <c r="F159" s="60">
        <f t="shared" si="7"/>
        <v>764.9159047383502</v>
      </c>
      <c r="G159" s="74" t="s">
        <v>183</v>
      </c>
      <c r="H159" s="70">
        <f t="shared" si="8"/>
        <v>-2.591756139531867</v>
      </c>
    </row>
    <row r="160" spans="2:8" ht="12.75">
      <c r="B160" s="43">
        <f t="shared" si="6"/>
        <v>1.5668282327351613</v>
      </c>
      <c r="C160" s="47" t="s">
        <v>58</v>
      </c>
      <c r="D160" s="40">
        <f t="shared" si="5"/>
        <v>777.4164355321846</v>
      </c>
      <c r="E160" s="50">
        <f t="shared" si="9"/>
        <v>15.092286933366267</v>
      </c>
      <c r="F160" s="60">
        <f t="shared" si="7"/>
        <v>782.4920358956317</v>
      </c>
      <c r="G160" s="74" t="s">
        <v>303</v>
      </c>
      <c r="H160" s="70">
        <f t="shared" si="8"/>
        <v>-5.075600363447165</v>
      </c>
    </row>
    <row r="161" spans="2:8" ht="12.75">
      <c r="B161" s="43">
        <f t="shared" si="6"/>
        <v>1.5805469986284133</v>
      </c>
      <c r="C161" s="47" t="s">
        <v>59</v>
      </c>
      <c r="D161" s="40">
        <f t="shared" si="5"/>
        <v>792.5087224655381</v>
      </c>
      <c r="E161" s="50">
        <f t="shared" si="9"/>
        <v>15.092286933353535</v>
      </c>
      <c r="F161" s="60">
        <f t="shared" si="7"/>
        <v>795.5580152669153</v>
      </c>
      <c r="G161" s="74" t="s">
        <v>639</v>
      </c>
      <c r="H161" s="70">
        <f t="shared" si="8"/>
        <v>-3.0492928013771916</v>
      </c>
    </row>
    <row r="162" spans="2:8" ht="12.75">
      <c r="B162" s="43">
        <f t="shared" si="6"/>
        <v>1.5943858826901856</v>
      </c>
      <c r="C162" s="47" t="s">
        <v>60</v>
      </c>
      <c r="D162" s="40">
        <f t="shared" si="5"/>
        <v>807.6010093989389</v>
      </c>
      <c r="E162" s="50">
        <f t="shared" si="9"/>
        <v>15.092286933400828</v>
      </c>
      <c r="F162" s="60">
        <f t="shared" si="7"/>
        <v>813.6862861351653</v>
      </c>
      <c r="G162" s="74" t="s">
        <v>186</v>
      </c>
      <c r="H162" s="70">
        <f t="shared" si="8"/>
        <v>-6.085276736226433</v>
      </c>
    </row>
    <row r="163" spans="2:8" ht="12.75">
      <c r="B163" s="43">
        <f t="shared" si="6"/>
        <v>1.6083459366457586</v>
      </c>
      <c r="C163" s="47" t="s">
        <v>61</v>
      </c>
      <c r="D163" s="40">
        <f t="shared" si="5"/>
        <v>822.6932963322688</v>
      </c>
      <c r="E163" s="50">
        <f t="shared" si="9"/>
        <v>15.092286933329888</v>
      </c>
      <c r="F163" s="60">
        <f t="shared" si="7"/>
        <v>823.0696914863244</v>
      </c>
      <c r="G163" s="74" t="s">
        <v>640</v>
      </c>
      <c r="H163" s="70">
        <f t="shared" si="8"/>
        <v>-0.3763951540555581</v>
      </c>
    </row>
    <row r="164" spans="2:8" ht="12.75">
      <c r="B164" s="43">
        <f t="shared" si="6"/>
        <v>1.6224282214292376</v>
      </c>
      <c r="C164" s="47" t="s">
        <v>62</v>
      </c>
      <c r="D164" s="40">
        <f t="shared" si="5"/>
        <v>837.7855832655987</v>
      </c>
      <c r="E164" s="50">
        <f t="shared" si="9"/>
        <v>15.092286933329888</v>
      </c>
      <c r="F164" s="60">
        <f t="shared" si="7"/>
        <v>840.5276617693106</v>
      </c>
      <c r="G164" s="74" t="s">
        <v>304</v>
      </c>
      <c r="H164" s="70">
        <f t="shared" si="8"/>
        <v>-2.742078503711923</v>
      </c>
    </row>
    <row r="165" spans="2:8" ht="12.75">
      <c r="B165" s="43">
        <f t="shared" si="6"/>
        <v>1.6366338072639697</v>
      </c>
      <c r="C165" s="47" t="s">
        <v>63</v>
      </c>
      <c r="D165" s="40">
        <f t="shared" si="5"/>
        <v>852.8778701989577</v>
      </c>
      <c r="E165" s="50">
        <f t="shared" si="9"/>
        <v>15.092286933358992</v>
      </c>
      <c r="F165" s="60">
        <f t="shared" si="7"/>
        <v>852.5920593660184</v>
      </c>
      <c r="G165" s="74" t="s">
        <v>305</v>
      </c>
      <c r="H165" s="70">
        <f t="shared" si="8"/>
        <v>0.28581083293931897</v>
      </c>
    </row>
    <row r="166" spans="2:8" ht="12.75">
      <c r="B166" s="43">
        <f t="shared" si="6"/>
        <v>1.6509637737438796</v>
      </c>
      <c r="C166" s="47" t="s">
        <v>64</v>
      </c>
      <c r="D166" s="40">
        <f t="shared" si="5"/>
        <v>867.9701571323349</v>
      </c>
      <c r="E166" s="50">
        <f t="shared" si="9"/>
        <v>15.092286933377181</v>
      </c>
      <c r="F166" s="60">
        <f t="shared" si="7"/>
        <v>863.8704969687176</v>
      </c>
      <c r="G166" s="74" t="s">
        <v>306</v>
      </c>
      <c r="H166" s="70">
        <f t="shared" si="8"/>
        <v>4.099660163617273</v>
      </c>
    </row>
    <row r="167" spans="2:8" ht="12.75">
      <c r="B167" s="43">
        <f t="shared" si="6"/>
        <v>1.6654192099155265</v>
      </c>
      <c r="C167" s="47" t="s">
        <v>65</v>
      </c>
      <c r="D167" s="40">
        <f t="shared" si="5"/>
        <v>883.062444065692</v>
      </c>
      <c r="E167" s="50">
        <f t="shared" si="9"/>
        <v>15.092286933357173</v>
      </c>
      <c r="F167" s="61">
        <f t="shared" si="7"/>
        <v>884.3587129994474</v>
      </c>
      <c r="G167" s="75" t="s">
        <v>155</v>
      </c>
      <c r="H167" s="71">
        <f t="shared" si="8"/>
        <v>-1.2962689337554139</v>
      </c>
    </row>
    <row r="168" spans="2:8" ht="12.75">
      <c r="B168" s="55">
        <f t="shared" si="6"/>
        <v>1.6800012143609497</v>
      </c>
      <c r="C168" s="48" t="s">
        <v>66</v>
      </c>
      <c r="D168" s="41">
        <f t="shared" si="5"/>
        <v>898.1547309990474</v>
      </c>
      <c r="E168" s="51">
        <f t="shared" si="9"/>
        <v>15.092286933355354</v>
      </c>
      <c r="F168" s="69">
        <f t="shared" si="7"/>
        <v>905.8650025961624</v>
      </c>
      <c r="G168" s="76" t="s">
        <v>301</v>
      </c>
      <c r="H168" s="72">
        <f t="shared" si="8"/>
        <v>-7.710271597115025</v>
      </c>
    </row>
    <row r="169" spans="2:8" ht="12.75">
      <c r="B169" s="43">
        <f t="shared" si="6"/>
        <v>1.6947108952811227</v>
      </c>
      <c r="C169" s="47" t="s">
        <v>67</v>
      </c>
      <c r="D169" s="40">
        <f t="shared" si="5"/>
        <v>913.2470179324373</v>
      </c>
      <c r="E169" s="50">
        <f t="shared" si="9"/>
        <v>15.092286933389914</v>
      </c>
      <c r="F169" s="62">
        <f t="shared" si="7"/>
        <v>918.6416956355724</v>
      </c>
      <c r="G169" s="77" t="s">
        <v>302</v>
      </c>
      <c r="H169" s="73">
        <f t="shared" si="8"/>
        <v>-5.39467770313513</v>
      </c>
    </row>
    <row r="170" spans="2:8" ht="12.75">
      <c r="B170" s="43">
        <f t="shared" si="6"/>
        <v>1.7095493705800282</v>
      </c>
      <c r="C170" s="47" t="s">
        <v>68</v>
      </c>
      <c r="D170" s="40">
        <f t="shared" si="5"/>
        <v>928.3393048657672</v>
      </c>
      <c r="E170" s="50">
        <f t="shared" si="9"/>
        <v>15.092286933329888</v>
      </c>
      <c r="F170" s="60">
        <f t="shared" si="7"/>
        <v>933.1290943962623</v>
      </c>
      <c r="G170" s="74" t="s">
        <v>641</v>
      </c>
      <c r="H170" s="70">
        <f t="shared" si="8"/>
        <v>-4.7897895304951135</v>
      </c>
    </row>
    <row r="171" spans="2:8" ht="12.75">
      <c r="B171" s="43">
        <f t="shared" si="6"/>
        <v>1.724517767949899</v>
      </c>
      <c r="C171" s="47" t="s">
        <v>69</v>
      </c>
      <c r="D171" s="40">
        <f t="shared" si="5"/>
        <v>943.4315917991007</v>
      </c>
      <c r="E171" s="50">
        <f t="shared" si="9"/>
        <v>15.092286933333526</v>
      </c>
      <c r="F171" s="60">
        <f t="shared" si="7"/>
        <v>943.050233576583</v>
      </c>
      <c r="G171" s="74" t="s">
        <v>642</v>
      </c>
      <c r="H171" s="70">
        <f t="shared" si="8"/>
        <v>0.381358222517747</v>
      </c>
    </row>
    <row r="172" spans="2:8" ht="12.75">
      <c r="B172" s="43">
        <f t="shared" si="6"/>
        <v>1.73961722495674</v>
      </c>
      <c r="C172" s="47" t="s">
        <v>70</v>
      </c>
      <c r="D172" s="40">
        <f t="shared" si="5"/>
        <v>958.5238787324743</v>
      </c>
      <c r="E172" s="50">
        <f t="shared" si="9"/>
        <v>15.092286933373543</v>
      </c>
      <c r="F172" s="60">
        <f t="shared" si="7"/>
        <v>958.0393665964193</v>
      </c>
      <c r="G172" s="74" t="s">
        <v>643</v>
      </c>
      <c r="H172" s="70">
        <f t="shared" si="8"/>
        <v>0.4845121360549456</v>
      </c>
    </row>
    <row r="173" spans="2:8" ht="12.75">
      <c r="B173" s="43">
        <f t="shared" si="6"/>
        <v>1.754848889126729</v>
      </c>
      <c r="C173" s="47" t="s">
        <v>71</v>
      </c>
      <c r="D173" s="40">
        <f aca="true" t="shared" si="10" ref="D173:D188">F87</f>
        <v>973.616165665846</v>
      </c>
      <c r="E173" s="50">
        <f t="shared" si="9"/>
        <v>15.092286933371724</v>
      </c>
      <c r="F173" s="60">
        <f t="shared" si="7"/>
        <v>968.8259064691249</v>
      </c>
      <c r="G173" s="74" t="s">
        <v>644</v>
      </c>
      <c r="H173" s="70">
        <f t="shared" si="8"/>
        <v>4.790259196721081</v>
      </c>
    </row>
    <row r="174" spans="2:8" ht="12.75">
      <c r="B174" s="43">
        <f aca="true" t="shared" si="11" ref="B174:B188">10^((LOG10(2))*(D174/1200))</f>
        <v>1.770213918033527</v>
      </c>
      <c r="C174" s="47" t="s">
        <v>72</v>
      </c>
      <c r="D174" s="40">
        <f t="shared" si="10"/>
        <v>988.7084525991995</v>
      </c>
      <c r="E174" s="50">
        <f t="shared" si="9"/>
        <v>15.092286933353535</v>
      </c>
      <c r="F174" s="60">
        <f aca="true" t="shared" si="12" ref="F174:F188">LOG(LEFT(G174,FIND("/",G174)-1)/RIGHT(G174,LEN(G174)-FIND("/",G174)),2)*1200</f>
        <v>996.0899982692251</v>
      </c>
      <c r="G174" s="74" t="s">
        <v>193</v>
      </c>
      <c r="H174" s="70">
        <f aca="true" t="shared" si="13" ref="H174:H188">(D174-F174)</f>
        <v>-7.381545670025616</v>
      </c>
    </row>
    <row r="175" spans="2:8" ht="12.75">
      <c r="B175" s="43">
        <f t="shared" si="11"/>
        <v>1.7857134793863103</v>
      </c>
      <c r="C175" s="47" t="s">
        <v>73</v>
      </c>
      <c r="D175" s="40">
        <f t="shared" si="10"/>
        <v>1003.8007395325985</v>
      </c>
      <c r="E175" s="50">
        <f aca="true" t="shared" si="14" ref="E175:E188">D175-D174</f>
        <v>15.09228693339901</v>
      </c>
      <c r="F175" s="60">
        <f t="shared" si="12"/>
        <v>1003.8015212605447</v>
      </c>
      <c r="G175" s="74" t="s">
        <v>307</v>
      </c>
      <c r="H175" s="70">
        <f t="shared" si="13"/>
        <v>-0.0007817279462187798</v>
      </c>
    </row>
    <row r="176" spans="2:8" ht="12.75">
      <c r="B176" s="43">
        <f t="shared" si="11"/>
        <v>1.8013487511182484</v>
      </c>
      <c r="C176" s="47" t="s">
        <v>74</v>
      </c>
      <c r="D176" s="40">
        <f t="shared" si="10"/>
        <v>1018.8930264659284</v>
      </c>
      <c r="E176" s="50">
        <f t="shared" si="14"/>
        <v>15.092286933329888</v>
      </c>
      <c r="F176" s="60">
        <f t="shared" si="12"/>
        <v>1017.5962878659401</v>
      </c>
      <c r="G176" s="74" t="s">
        <v>196</v>
      </c>
      <c r="H176" s="70">
        <f t="shared" si="13"/>
        <v>1.2967385999883163</v>
      </c>
    </row>
    <row r="177" spans="2:8" ht="12.75">
      <c r="B177" s="43">
        <f t="shared" si="11"/>
        <v>1.8171209214764035</v>
      </c>
      <c r="C177" s="47" t="s">
        <v>75</v>
      </c>
      <c r="D177" s="40">
        <f t="shared" si="10"/>
        <v>1033.9853133992656</v>
      </c>
      <c r="E177" s="50">
        <f t="shared" si="14"/>
        <v>15.092286933337164</v>
      </c>
      <c r="F177" s="60">
        <f t="shared" si="12"/>
        <v>1034.995771500078</v>
      </c>
      <c r="G177" s="74" t="s">
        <v>308</v>
      </c>
      <c r="H177" s="70">
        <f t="shared" si="13"/>
        <v>-1.010458100812457</v>
      </c>
    </row>
    <row r="178" spans="2:8" ht="12.75">
      <c r="B178" s="43">
        <f t="shared" si="11"/>
        <v>1.8330311891117683</v>
      </c>
      <c r="C178" s="47" t="s">
        <v>76</v>
      </c>
      <c r="D178" s="40">
        <f t="shared" si="10"/>
        <v>1049.0776003326173</v>
      </c>
      <c r="E178" s="50">
        <f t="shared" si="14"/>
        <v>15.092286933351716</v>
      </c>
      <c r="F178" s="60">
        <f t="shared" si="12"/>
        <v>1049.3629414993693</v>
      </c>
      <c r="G178" s="74" t="s">
        <v>309</v>
      </c>
      <c r="H178" s="70">
        <f t="shared" si="13"/>
        <v>-0.28534116675200494</v>
      </c>
    </row>
    <row r="179" spans="2:8" ht="12.75">
      <c r="B179" s="43">
        <f t="shared" si="11"/>
        <v>1.8490807631704314</v>
      </c>
      <c r="C179" s="47" t="s">
        <v>77</v>
      </c>
      <c r="D179" s="40">
        <f t="shared" si="10"/>
        <v>1064.1698872659908</v>
      </c>
      <c r="E179" s="50">
        <f t="shared" si="14"/>
        <v>15.092286933373543</v>
      </c>
      <c r="F179" s="60">
        <f t="shared" si="12"/>
        <v>1065.030324889905</v>
      </c>
      <c r="G179" s="74" t="s">
        <v>645</v>
      </c>
      <c r="H179" s="70">
        <f t="shared" si="13"/>
        <v>-0.8604376239140947</v>
      </c>
    </row>
    <row r="180" spans="2:8" ht="12.75">
      <c r="B180" s="43">
        <f t="shared" si="11"/>
        <v>1.865270863385427</v>
      </c>
      <c r="C180" s="47" t="s">
        <v>78</v>
      </c>
      <c r="D180" s="40">
        <f t="shared" si="10"/>
        <v>1079.2621741993535</v>
      </c>
      <c r="E180" s="50">
        <f t="shared" si="14"/>
        <v>15.09228693336263</v>
      </c>
      <c r="F180" s="61">
        <f t="shared" si="12"/>
        <v>1080.5571917389027</v>
      </c>
      <c r="G180" s="75" t="s">
        <v>310</v>
      </c>
      <c r="H180" s="71">
        <f t="shared" si="13"/>
        <v>-1.2950175395492352</v>
      </c>
    </row>
    <row r="181" spans="2:8" ht="12.75">
      <c r="B181" s="55">
        <f t="shared" si="11"/>
        <v>1.8816027201695102</v>
      </c>
      <c r="C181" s="48" t="s">
        <v>79</v>
      </c>
      <c r="D181" s="41">
        <f t="shared" si="10"/>
        <v>1094.3544611327075</v>
      </c>
      <c r="E181" s="51">
        <f t="shared" si="14"/>
        <v>15.09228693335399</v>
      </c>
      <c r="F181" s="69">
        <f t="shared" si="12"/>
        <v>1088.2687147302222</v>
      </c>
      <c r="G181" s="76" t="s">
        <v>311</v>
      </c>
      <c r="H181" s="72">
        <f t="shared" si="13"/>
        <v>6.085746402485256</v>
      </c>
    </row>
    <row r="182" spans="2:8" ht="12.75">
      <c r="B182" s="43">
        <f t="shared" si="11"/>
        <v>1.8980775747086782</v>
      </c>
      <c r="C182" s="47" t="s">
        <v>80</v>
      </c>
      <c r="D182" s="40">
        <f t="shared" si="10"/>
        <v>1109.446748066097</v>
      </c>
      <c r="E182" s="50">
        <f t="shared" si="14"/>
        <v>15.09228693338946</v>
      </c>
      <c r="F182" s="62">
        <f t="shared" si="12"/>
        <v>1109.775004326937</v>
      </c>
      <c r="G182" s="77" t="s">
        <v>313</v>
      </c>
      <c r="H182" s="73">
        <f t="shared" si="13"/>
        <v>-0.32825626084013493</v>
      </c>
    </row>
    <row r="183" spans="2:8" ht="12.75">
      <c r="B183" s="43">
        <f t="shared" si="11"/>
        <v>1.9146966790562958</v>
      </c>
      <c r="C183" s="47" t="s">
        <v>81</v>
      </c>
      <c r="D183" s="40">
        <f t="shared" si="10"/>
        <v>1124.5390349994268</v>
      </c>
      <c r="E183" s="50">
        <f t="shared" si="14"/>
        <v>15.092286933329888</v>
      </c>
      <c r="F183" s="60">
        <f t="shared" si="12"/>
        <v>1119.4629649697556</v>
      </c>
      <c r="G183" s="74" t="s">
        <v>646</v>
      </c>
      <c r="H183" s="70">
        <f t="shared" si="13"/>
        <v>5.0760700296712</v>
      </c>
    </row>
    <row r="184" spans="2:8" ht="12.75">
      <c r="B184" s="43">
        <f t="shared" si="11"/>
        <v>1.931461296228576</v>
      </c>
      <c r="C184" s="47" t="s">
        <v>82</v>
      </c>
      <c r="D184" s="40">
        <f t="shared" si="10"/>
        <v>1139.6313219327603</v>
      </c>
      <c r="E184" s="50">
        <f t="shared" si="14"/>
        <v>15.092286933333526</v>
      </c>
      <c r="F184" s="60">
        <f t="shared" si="12"/>
        <v>1137.0390961270373</v>
      </c>
      <c r="G184" s="74" t="s">
        <v>314</v>
      </c>
      <c r="H184" s="70">
        <f t="shared" si="13"/>
        <v>2.5922258057230465</v>
      </c>
    </row>
    <row r="185" spans="2:8" ht="12.75">
      <c r="B185" s="43">
        <f t="shared" si="11"/>
        <v>1.9483727003003657</v>
      </c>
      <c r="C185" s="47" t="s">
        <v>83</v>
      </c>
      <c r="D185" s="40">
        <f t="shared" si="10"/>
        <v>1154.7236088661339</v>
      </c>
      <c r="E185" s="50">
        <f t="shared" si="14"/>
        <v>15.092286933373543</v>
      </c>
      <c r="F185" s="60">
        <f t="shared" si="12"/>
        <v>1153.8310226224373</v>
      </c>
      <c r="G185" s="74" t="s">
        <v>647</v>
      </c>
      <c r="H185" s="70">
        <f t="shared" si="13"/>
        <v>0.8925862436965417</v>
      </c>
    </row>
    <row r="186" spans="2:8" ht="12.75">
      <c r="B186" s="43">
        <f t="shared" si="11"/>
        <v>1.9654321765019136</v>
      </c>
      <c r="C186" s="47" t="s">
        <v>84</v>
      </c>
      <c r="D186" s="40">
        <f t="shared" si="10"/>
        <v>1169.8158957995074</v>
      </c>
      <c r="E186" s="50">
        <f t="shared" si="14"/>
        <v>15.092286933373543</v>
      </c>
      <c r="F186" s="60">
        <f t="shared" si="12"/>
        <v>1165.02438520858</v>
      </c>
      <c r="G186" s="74" t="s">
        <v>648</v>
      </c>
      <c r="H186" s="70">
        <f t="shared" si="13"/>
        <v>4.791510590927373</v>
      </c>
    </row>
    <row r="187" spans="2:8" ht="12.75">
      <c r="B187" s="43">
        <f t="shared" si="11"/>
        <v>1.9826410213166537</v>
      </c>
      <c r="C187" s="47" t="s">
        <v>85</v>
      </c>
      <c r="D187" s="40">
        <f t="shared" si="10"/>
        <v>1184.90818273286</v>
      </c>
      <c r="E187" s="50">
        <f t="shared" si="14"/>
        <v>15.092286933352625</v>
      </c>
      <c r="F187" s="61">
        <f t="shared" si="12"/>
        <v>1183.5900757235083</v>
      </c>
      <c r="G187" s="75" t="s">
        <v>649</v>
      </c>
      <c r="H187" s="71">
        <f t="shared" si="13"/>
        <v>1.3181070093517064</v>
      </c>
    </row>
    <row r="188" spans="2:8" ht="12.75">
      <c r="B188" s="56">
        <f t="shared" si="11"/>
        <v>2.0000005425798197</v>
      </c>
      <c r="C188" s="49" t="s">
        <v>86</v>
      </c>
      <c r="D188" s="42">
        <f t="shared" si="10"/>
        <v>1200.0004696662654</v>
      </c>
      <c r="E188" s="52">
        <f t="shared" si="14"/>
        <v>15.092286933405376</v>
      </c>
      <c r="F188" s="69">
        <f t="shared" si="12"/>
        <v>1200</v>
      </c>
      <c r="G188" s="76" t="s">
        <v>315</v>
      </c>
      <c r="H188" s="72">
        <f t="shared" si="13"/>
        <v>0.0004696662654168904</v>
      </c>
    </row>
    <row r="189" spans="2:8" ht="12.75">
      <c r="B189" s="33"/>
      <c r="D189" s="8"/>
      <c r="E189" s="32"/>
      <c r="F189" s="1"/>
      <c r="H189" s="14"/>
    </row>
    <row r="190" spans="2:8" ht="12.75">
      <c r="B190" s="33"/>
      <c r="D190" s="8"/>
      <c r="E190" s="32"/>
      <c r="F190" s="1"/>
      <c r="H190" s="14"/>
    </row>
    <row r="191" spans="2:8" ht="12.75">
      <c r="B191" s="9" t="s">
        <v>457</v>
      </c>
      <c r="D191" s="9"/>
      <c r="E191" s="9" t="s">
        <v>492</v>
      </c>
      <c r="F191" s="388" t="s">
        <v>491</v>
      </c>
      <c r="G191" s="388"/>
      <c r="H191" s="388"/>
    </row>
    <row r="192" spans="2:8" ht="12.75">
      <c r="B192" s="9" t="s">
        <v>458</v>
      </c>
      <c r="C192" s="9" t="s">
        <v>347</v>
      </c>
      <c r="D192" s="9" t="s">
        <v>459</v>
      </c>
      <c r="E192" s="9" t="s">
        <v>489</v>
      </c>
      <c r="F192" s="388" t="s">
        <v>490</v>
      </c>
      <c r="G192" s="388"/>
      <c r="H192" s="388"/>
    </row>
    <row r="194" spans="2:8" ht="12.75">
      <c r="B194" s="101">
        <f>10^((LOG10(2))*(D194/1200))</f>
        <v>1</v>
      </c>
      <c r="C194" s="46" t="s">
        <v>87</v>
      </c>
      <c r="D194" s="98">
        <f>'Inspect &amp; Adjust Beats'!H6</f>
        <v>0</v>
      </c>
      <c r="E194" s="59" t="s">
        <v>316</v>
      </c>
      <c r="F194" s="57" t="s">
        <v>89</v>
      </c>
      <c r="G194" s="58" t="s">
        <v>286</v>
      </c>
      <c r="H194" s="57" t="s">
        <v>577</v>
      </c>
    </row>
    <row r="195" spans="2:8" ht="12.75">
      <c r="B195" s="43">
        <f>10^((LOG10(2))*(D195/1200))</f>
        <v>1.0095419847328244</v>
      </c>
      <c r="C195" s="47" t="s">
        <v>8</v>
      </c>
      <c r="D195" s="97">
        <f>'Inspect &amp; Adjust Beats'!H7</f>
        <v>16.44109269189054</v>
      </c>
      <c r="E195" s="50">
        <f>D195</f>
        <v>16.44109269189054</v>
      </c>
      <c r="F195" s="60">
        <f aca="true" t="shared" si="15" ref="F195:F258">LOG(LEFT(G195,FIND("/",G195)-1)/RIGHT(G195,LEN(G195)-FIND("/",G195)),2)*1200</f>
        <v>21.50628959671478</v>
      </c>
      <c r="G195" s="74" t="s">
        <v>287</v>
      </c>
      <c r="H195" s="70">
        <f>(D195-F195)</f>
        <v>-5.065196904824241</v>
      </c>
    </row>
    <row r="196" spans="2:8" ht="12.75">
      <c r="B196" s="43">
        <f aca="true" t="shared" si="16" ref="B196:B258">10^((LOG10(2))*(D196/1200))</f>
        <v>1.0181297709923665</v>
      </c>
      <c r="C196" s="47" t="s">
        <v>9</v>
      </c>
      <c r="D196" s="97">
        <f>'Inspect &amp; Adjust Beats'!H8</f>
        <v>31.105751144369663</v>
      </c>
      <c r="E196" s="50">
        <f>D196-D195</f>
        <v>14.664658452479124</v>
      </c>
      <c r="F196" s="60">
        <f t="shared" si="15"/>
        <v>27.26409180010014</v>
      </c>
      <c r="G196" s="74" t="s">
        <v>288</v>
      </c>
      <c r="H196" s="70">
        <f aca="true" t="shared" si="17" ref="H196:H258">(D196-F196)</f>
        <v>3.841659344269523</v>
      </c>
    </row>
    <row r="197" spans="2:8" ht="12.75">
      <c r="B197" s="43">
        <f t="shared" si="16"/>
        <v>1.0267175572519085</v>
      </c>
      <c r="C197" s="47" t="s">
        <v>10</v>
      </c>
      <c r="D197" s="97">
        <f>'Inspect &amp; Adjust Beats'!H9</f>
        <v>45.647233223008804</v>
      </c>
      <c r="E197" s="50">
        <f aca="true" t="shared" si="18" ref="E197:E259">D197-D196</f>
        <v>14.541482078639142</v>
      </c>
      <c r="F197" s="60">
        <f t="shared" si="15"/>
        <v>41.058858405495585</v>
      </c>
      <c r="G197" s="74" t="s">
        <v>289</v>
      </c>
      <c r="H197" s="70">
        <f t="shared" si="17"/>
        <v>4.58837481751322</v>
      </c>
    </row>
    <row r="198" spans="2:8" ht="12.75">
      <c r="B198" s="43">
        <f t="shared" si="16"/>
        <v>1.0353053435114503</v>
      </c>
      <c r="C198" s="47" t="s">
        <v>11</v>
      </c>
      <c r="D198" s="97">
        <f>'Inspect &amp; Adjust Beats'!H10</f>
        <v>60.067590953269544</v>
      </c>
      <c r="E198" s="50">
        <f t="shared" si="18"/>
        <v>14.42035773026074</v>
      </c>
      <c r="F198" s="60">
        <f t="shared" si="15"/>
        <v>62.960903872962575</v>
      </c>
      <c r="G198" s="74" t="s">
        <v>627</v>
      </c>
      <c r="H198" s="70">
        <f t="shared" si="17"/>
        <v>-2.893312919693031</v>
      </c>
    </row>
    <row r="199" spans="2:8" ht="12.75">
      <c r="B199" s="43">
        <f t="shared" si="16"/>
        <v>1.0448473282442747</v>
      </c>
      <c r="C199" s="47" t="s">
        <v>12</v>
      </c>
      <c r="D199" s="97">
        <f>'Inspect &amp; Adjust Beats'!H11</f>
        <v>75.95058354130245</v>
      </c>
      <c r="E199" s="50">
        <f t="shared" si="18"/>
        <v>15.882992588032906</v>
      </c>
      <c r="F199" s="60">
        <f t="shared" si="15"/>
        <v>70.67242686428234</v>
      </c>
      <c r="G199" s="74" t="s">
        <v>290</v>
      </c>
      <c r="H199" s="70">
        <f t="shared" si="17"/>
        <v>5.278156677020107</v>
      </c>
    </row>
    <row r="200" spans="2:8" ht="12.75">
      <c r="B200" s="43">
        <f t="shared" si="16"/>
        <v>1.0543893129770991</v>
      </c>
      <c r="C200" s="47" t="s">
        <v>13</v>
      </c>
      <c r="D200" s="97">
        <f>'Inspect &amp; Adjust Beats'!H12</f>
        <v>91.68918328961222</v>
      </c>
      <c r="E200" s="50">
        <f t="shared" si="18"/>
        <v>15.738599748309767</v>
      </c>
      <c r="F200" s="60">
        <f t="shared" si="15"/>
        <v>90.22499567306306</v>
      </c>
      <c r="G200" s="74" t="s">
        <v>291</v>
      </c>
      <c r="H200" s="70">
        <f t="shared" si="17"/>
        <v>1.4641876165491539</v>
      </c>
    </row>
    <row r="201" spans="2:8" ht="12.75">
      <c r="B201" s="43">
        <f t="shared" si="16"/>
        <v>1.0629770992366412</v>
      </c>
      <c r="C201" s="47" t="s">
        <v>14</v>
      </c>
      <c r="D201" s="97">
        <f>'Inspect &amp; Adjust Beats'!H13</f>
        <v>105.7326189630977</v>
      </c>
      <c r="E201" s="50">
        <f t="shared" si="18"/>
        <v>14.04343567348549</v>
      </c>
      <c r="F201" s="60">
        <f t="shared" si="15"/>
        <v>111.73128526977776</v>
      </c>
      <c r="G201" s="74" t="s">
        <v>134</v>
      </c>
      <c r="H201" s="70">
        <f t="shared" si="17"/>
        <v>-5.99866630668005</v>
      </c>
    </row>
    <row r="202" spans="2:8" ht="12.75">
      <c r="B202" s="43">
        <f t="shared" si="16"/>
        <v>1.0725190839694656</v>
      </c>
      <c r="C202" s="47" t="s">
        <v>15</v>
      </c>
      <c r="D202" s="97">
        <f>'Inspect &amp; Adjust Beats'!H14</f>
        <v>121.2039824201709</v>
      </c>
      <c r="E202" s="50">
        <f t="shared" si="18"/>
        <v>15.471363457073195</v>
      </c>
      <c r="F202" s="60">
        <f t="shared" si="15"/>
        <v>119.44280826109726</v>
      </c>
      <c r="G202" s="74" t="s">
        <v>135</v>
      </c>
      <c r="H202" s="70">
        <f t="shared" si="17"/>
        <v>1.7611741590736472</v>
      </c>
    </row>
    <row r="203" spans="2:8" ht="12.75">
      <c r="B203" s="43">
        <f t="shared" si="16"/>
        <v>1.08206106870229</v>
      </c>
      <c r="C203" s="47" t="s">
        <v>16</v>
      </c>
      <c r="D203" s="97">
        <f>'Inspect &amp; Adjust Beats'!H15</f>
        <v>136.53830808573417</v>
      </c>
      <c r="E203" s="50">
        <f t="shared" si="18"/>
        <v>15.33432566556327</v>
      </c>
      <c r="F203" s="60">
        <f t="shared" si="15"/>
        <v>138.57266090392307</v>
      </c>
      <c r="G203" s="74" t="s">
        <v>292</v>
      </c>
      <c r="H203" s="70">
        <f t="shared" si="17"/>
        <v>-2.034352818188893</v>
      </c>
    </row>
    <row r="204" spans="2:8" ht="12.75">
      <c r="B204" s="43">
        <f t="shared" si="16"/>
        <v>1.0916030534351144</v>
      </c>
      <c r="C204" s="47" t="s">
        <v>17</v>
      </c>
      <c r="D204" s="97">
        <f>'Inspect &amp; Adjust Beats'!H16</f>
        <v>151.73800228912688</v>
      </c>
      <c r="E204" s="50">
        <f t="shared" si="18"/>
        <v>15.19969420339271</v>
      </c>
      <c r="F204" s="60">
        <f t="shared" si="15"/>
        <v>150.6370585006306</v>
      </c>
      <c r="G204" s="74" t="s">
        <v>137</v>
      </c>
      <c r="H204" s="70">
        <f t="shared" si="17"/>
        <v>1.100943788496295</v>
      </c>
    </row>
    <row r="205" spans="2:8" ht="12.75">
      <c r="B205" s="43">
        <f t="shared" si="16"/>
        <v>1.1011450381679388</v>
      </c>
      <c r="C205" s="47" t="s">
        <v>18</v>
      </c>
      <c r="D205" s="97">
        <f>'Inspect &amp; Adjust Beats'!H17</f>
        <v>166.8054085296385</v>
      </c>
      <c r="E205" s="50">
        <f t="shared" si="18"/>
        <v>15.067406240511616</v>
      </c>
      <c r="F205" s="60">
        <f t="shared" si="15"/>
        <v>165.00422849992202</v>
      </c>
      <c r="G205" s="74" t="s">
        <v>138</v>
      </c>
      <c r="H205" s="70">
        <f t="shared" si="17"/>
        <v>1.8011800297164768</v>
      </c>
    </row>
    <row r="206" spans="2:8" ht="12.75">
      <c r="B206" s="44">
        <f t="shared" si="16"/>
        <v>1.1106870229007633</v>
      </c>
      <c r="C206" s="47" t="s">
        <v>19</v>
      </c>
      <c r="D206" s="97">
        <f>'Inspect &amp; Adjust Beats'!H18</f>
        <v>181.74280964500016</v>
      </c>
      <c r="E206" s="50">
        <f t="shared" si="18"/>
        <v>14.937401115361666</v>
      </c>
      <c r="F206" s="61">
        <f t="shared" si="15"/>
        <v>182.40371213406007</v>
      </c>
      <c r="G206" s="75" t="s">
        <v>139</v>
      </c>
      <c r="H206" s="71">
        <f t="shared" si="17"/>
        <v>-0.6609024890599073</v>
      </c>
    </row>
    <row r="207" spans="2:8" ht="12.75">
      <c r="B207" s="54">
        <f t="shared" si="16"/>
        <v>1.1202290076335877</v>
      </c>
      <c r="C207" s="48" t="s">
        <v>20</v>
      </c>
      <c r="D207" s="99">
        <f>'Inspect &amp; Adjust Beats'!H19</f>
        <v>196.55242988712212</v>
      </c>
      <c r="E207" s="51">
        <f t="shared" si="18"/>
        <v>14.809620242121952</v>
      </c>
      <c r="F207" s="69">
        <f t="shared" si="15"/>
        <v>203.91000173077484</v>
      </c>
      <c r="G207" s="76" t="s">
        <v>140</v>
      </c>
      <c r="H207" s="72">
        <f t="shared" si="17"/>
        <v>-7.357571843652721</v>
      </c>
    </row>
    <row r="208" spans="2:8" ht="12.75">
      <c r="B208" s="45">
        <f t="shared" si="16"/>
        <v>1.1297709923664123</v>
      </c>
      <c r="C208" s="47" t="s">
        <v>21</v>
      </c>
      <c r="D208" s="97">
        <f>'Inspect &amp; Adjust Beats'!H20</f>
        <v>211.23643690979958</v>
      </c>
      <c r="E208" s="50">
        <f t="shared" si="18"/>
        <v>14.684007022677463</v>
      </c>
      <c r="F208" s="62">
        <f t="shared" si="15"/>
        <v>203.91000173077484</v>
      </c>
      <c r="G208" s="77" t="s">
        <v>140</v>
      </c>
      <c r="H208" s="73">
        <f t="shared" si="17"/>
        <v>7.326435179024742</v>
      </c>
    </row>
    <row r="209" spans="2:8" ht="12.75">
      <c r="B209" s="43">
        <f t="shared" si="16"/>
        <v>1.140267175572519</v>
      </c>
      <c r="C209" s="47" t="s">
        <v>22</v>
      </c>
      <c r="D209" s="97">
        <f>'Inspect &amp; Adjust Beats'!H21</f>
        <v>227.24628159679278</v>
      </c>
      <c r="E209" s="50">
        <f t="shared" si="18"/>
        <v>16.009844686993205</v>
      </c>
      <c r="F209" s="60">
        <f t="shared" si="15"/>
        <v>231.17409353087498</v>
      </c>
      <c r="G209" s="74" t="s">
        <v>141</v>
      </c>
      <c r="H209" s="70">
        <f t="shared" si="17"/>
        <v>-3.9278119340822</v>
      </c>
    </row>
    <row r="210" spans="2:8" ht="12.75">
      <c r="B210" s="43">
        <f t="shared" si="16"/>
        <v>1.1498091603053435</v>
      </c>
      <c r="C210" s="47" t="s">
        <v>23</v>
      </c>
      <c r="D210" s="97">
        <f>'Inspect &amp; Adjust Beats'!H22</f>
        <v>241.67331549584844</v>
      </c>
      <c r="E210" s="50">
        <f t="shared" si="18"/>
        <v>14.427033899055658</v>
      </c>
      <c r="F210" s="60">
        <f t="shared" si="15"/>
        <v>244.96886013627025</v>
      </c>
      <c r="G210" s="74" t="s">
        <v>161</v>
      </c>
      <c r="H210" s="70">
        <f t="shared" si="17"/>
        <v>-3.2955446404218094</v>
      </c>
    </row>
    <row r="211" spans="2:8" ht="12.75">
      <c r="B211" s="43">
        <f t="shared" si="16"/>
        <v>1.1603053435114503</v>
      </c>
      <c r="C211" s="47" t="s">
        <v>24</v>
      </c>
      <c r="D211" s="97">
        <f>'Inspect &amp; Adjust Beats'!H23</f>
        <v>257.4054142873622</v>
      </c>
      <c r="E211" s="50">
        <f t="shared" si="18"/>
        <v>15.73209879151375</v>
      </c>
      <c r="F211" s="60">
        <f t="shared" si="15"/>
        <v>252.68038312759006</v>
      </c>
      <c r="G211" s="74" t="s">
        <v>293</v>
      </c>
      <c r="H211" s="70">
        <f t="shared" si="17"/>
        <v>4.725031159772129</v>
      </c>
    </row>
    <row r="212" spans="2:8" ht="12.75">
      <c r="B212" s="43">
        <f t="shared" si="16"/>
        <v>1.1698473282442747</v>
      </c>
      <c r="C212" s="47" t="s">
        <v>25</v>
      </c>
      <c r="D212" s="97">
        <f>'Inspect &amp; Adjust Beats'!H24</f>
        <v>271.58431458399735</v>
      </c>
      <c r="E212" s="50">
        <f t="shared" si="18"/>
        <v>14.178900296635163</v>
      </c>
      <c r="F212" s="60">
        <f t="shared" si="15"/>
        <v>266.87090560373764</v>
      </c>
      <c r="G212" s="74" t="s">
        <v>159</v>
      </c>
      <c r="H212" s="70">
        <f t="shared" si="17"/>
        <v>4.7134089802597146</v>
      </c>
    </row>
    <row r="213" spans="2:8" ht="12.75">
      <c r="B213" s="43">
        <f t="shared" si="16"/>
        <v>1.1803435114503817</v>
      </c>
      <c r="C213" s="47" t="s">
        <v>26</v>
      </c>
      <c r="D213" s="97">
        <f>'Inspect &amp; Adjust Beats'!H25</f>
        <v>287.0481401267034</v>
      </c>
      <c r="E213" s="50">
        <f t="shared" si="18"/>
        <v>15.463825542706047</v>
      </c>
      <c r="F213" s="60">
        <f t="shared" si="15"/>
        <v>289.209719404554</v>
      </c>
      <c r="G213" s="74" t="s">
        <v>294</v>
      </c>
      <c r="H213" s="70">
        <f t="shared" si="17"/>
        <v>-2.161579277850592</v>
      </c>
    </row>
    <row r="214" spans="2:8" ht="12.75">
      <c r="B214" s="43">
        <f t="shared" si="16"/>
        <v>1.1908396946564885</v>
      </c>
      <c r="C214" s="47" t="s">
        <v>27</v>
      </c>
      <c r="D214" s="97">
        <f>'Inspect &amp; Adjust Beats'!H26</f>
        <v>302.3750607897577</v>
      </c>
      <c r="E214" s="50">
        <f t="shared" si="18"/>
        <v>15.326920663054295</v>
      </c>
      <c r="F214" s="60">
        <f t="shared" si="15"/>
        <v>302.86459396114236</v>
      </c>
      <c r="G214" s="74" t="s">
        <v>295</v>
      </c>
      <c r="H214" s="70">
        <f t="shared" si="17"/>
        <v>-0.48953317138466446</v>
      </c>
    </row>
    <row r="215" spans="2:8" ht="12.75">
      <c r="B215" s="43">
        <f t="shared" si="16"/>
        <v>1.2013358778625953</v>
      </c>
      <c r="C215" s="47" t="s">
        <v>28</v>
      </c>
      <c r="D215" s="97">
        <f>'Inspect &amp; Adjust Beats'!H27</f>
        <v>317.5674794178793</v>
      </c>
      <c r="E215" s="50">
        <f t="shared" si="18"/>
        <v>15.19241862812163</v>
      </c>
      <c r="F215" s="60">
        <f t="shared" si="15"/>
        <v>315.64128700055255</v>
      </c>
      <c r="G215" s="74" t="s">
        <v>144</v>
      </c>
      <c r="H215" s="70">
        <f t="shared" si="17"/>
        <v>1.9261924173267744</v>
      </c>
    </row>
    <row r="216" spans="2:8" ht="12.75">
      <c r="B216" s="43">
        <f t="shared" si="16"/>
        <v>1.2118320610687023</v>
      </c>
      <c r="C216" s="47" t="s">
        <v>29</v>
      </c>
      <c r="D216" s="97">
        <f>'Inspect &amp; Adjust Beats'!H28</f>
        <v>332.6277361464936</v>
      </c>
      <c r="E216" s="50">
        <f t="shared" si="18"/>
        <v>15.060256728614263</v>
      </c>
      <c r="F216" s="60">
        <f t="shared" si="15"/>
        <v>336.12950303128224</v>
      </c>
      <c r="G216" s="74" t="s">
        <v>145</v>
      </c>
      <c r="H216" s="70">
        <f t="shared" si="17"/>
        <v>-3.501766884788651</v>
      </c>
    </row>
    <row r="217" spans="2:8" ht="12.75">
      <c r="B217" s="43">
        <f t="shared" si="16"/>
        <v>1.2223282442748091</v>
      </c>
      <c r="C217" s="47" t="s">
        <v>30</v>
      </c>
      <c r="D217" s="97">
        <f>'Inspect &amp; Adjust Beats'!H29</f>
        <v>347.55811056503546</v>
      </c>
      <c r="E217" s="50">
        <f t="shared" si="18"/>
        <v>14.930374418541874</v>
      </c>
      <c r="F217" s="60">
        <f t="shared" si="15"/>
        <v>347.40794063398204</v>
      </c>
      <c r="G217" s="74" t="s">
        <v>146</v>
      </c>
      <c r="H217" s="70">
        <f t="shared" si="17"/>
        <v>0.15016993105342635</v>
      </c>
    </row>
    <row r="218" spans="2:8" ht="12.75">
      <c r="B218" s="43">
        <f t="shared" si="16"/>
        <v>1.2328244274809161</v>
      </c>
      <c r="C218" s="47" t="s">
        <v>31</v>
      </c>
      <c r="D218" s="97">
        <f>'Inspect &amp; Adjust Beats'!H30</f>
        <v>362.3608237877697</v>
      </c>
      <c r="E218" s="50">
        <f t="shared" si="18"/>
        <v>14.802713222734212</v>
      </c>
      <c r="F218" s="60">
        <f t="shared" si="15"/>
        <v>365.82549783410514</v>
      </c>
      <c r="G218" s="74" t="s">
        <v>296</v>
      </c>
      <c r="H218" s="70">
        <f t="shared" si="17"/>
        <v>-3.4646740463354604</v>
      </c>
    </row>
    <row r="219" spans="2:8" ht="12.75">
      <c r="B219" s="44">
        <f t="shared" si="16"/>
        <v>1.2442748091603053</v>
      </c>
      <c r="C219" s="47" t="s">
        <v>32</v>
      </c>
      <c r="D219" s="97">
        <f>'Inspect &amp; Adjust Beats'!H31</f>
        <v>378.3661832323527</v>
      </c>
      <c r="E219" s="50">
        <f t="shared" si="18"/>
        <v>16.005359444583007</v>
      </c>
      <c r="F219" s="61">
        <f t="shared" si="15"/>
        <v>372.4081447345806</v>
      </c>
      <c r="G219" s="75" t="s">
        <v>630</v>
      </c>
      <c r="H219" s="71">
        <f t="shared" si="17"/>
        <v>5.9580384977720655</v>
      </c>
    </row>
    <row r="220" spans="2:8" ht="12.75">
      <c r="B220" s="54">
        <f t="shared" si="16"/>
        <v>1.2547709923664123</v>
      </c>
      <c r="C220" s="48" t="s">
        <v>33</v>
      </c>
      <c r="D220" s="99">
        <f>'Inspect &amp; Adjust Beats'!H32</f>
        <v>392.9088991706575</v>
      </c>
      <c r="E220" s="51">
        <f t="shared" si="18"/>
        <v>14.54271593830481</v>
      </c>
      <c r="F220" s="69">
        <f t="shared" si="15"/>
        <v>386.3137138648348</v>
      </c>
      <c r="G220" s="76" t="s">
        <v>149</v>
      </c>
      <c r="H220" s="72">
        <f t="shared" si="17"/>
        <v>6.5951853058226675</v>
      </c>
    </row>
    <row r="221" spans="2:8" ht="12.75">
      <c r="B221" s="45">
        <f t="shared" si="16"/>
        <v>1.2662213740458015</v>
      </c>
      <c r="C221" s="47" t="s">
        <v>34</v>
      </c>
      <c r="D221" s="97">
        <f>'Inspect &amp; Adjust Beats'!H33</f>
        <v>408.63558459929163</v>
      </c>
      <c r="E221" s="50">
        <f t="shared" si="18"/>
        <v>15.726685428634141</v>
      </c>
      <c r="F221" s="62">
        <f t="shared" si="15"/>
        <v>407.8200034615497</v>
      </c>
      <c r="G221" s="77" t="s">
        <v>150</v>
      </c>
      <c r="H221" s="73">
        <f t="shared" si="17"/>
        <v>0.8155811377419582</v>
      </c>
    </row>
    <row r="222" spans="2:8" ht="12.75">
      <c r="B222" s="43">
        <f t="shared" si="16"/>
        <v>1.2767175572519085</v>
      </c>
      <c r="C222" s="47" t="s">
        <v>35</v>
      </c>
      <c r="D222" s="97">
        <f>'Inspect &amp; Adjust Beats'!H34</f>
        <v>422.9272789248129</v>
      </c>
      <c r="E222" s="50">
        <f t="shared" si="18"/>
        <v>14.291694325521291</v>
      </c>
      <c r="F222" s="60">
        <f t="shared" si="15"/>
        <v>424.3643455376405</v>
      </c>
      <c r="G222" s="74" t="s">
        <v>297</v>
      </c>
      <c r="H222" s="70">
        <f t="shared" si="17"/>
        <v>-1.4370666128275502</v>
      </c>
    </row>
    <row r="223" spans="2:8" ht="12.75">
      <c r="B223" s="43">
        <f t="shared" si="16"/>
        <v>1.2881679389312977</v>
      </c>
      <c r="C223" s="47" t="s">
        <v>36</v>
      </c>
      <c r="D223" s="97">
        <f>'Inspect &amp; Adjust Beats'!H35</f>
        <v>438.38482848089143</v>
      </c>
      <c r="E223" s="50">
        <f t="shared" si="18"/>
        <v>15.457549556078504</v>
      </c>
      <c r="F223" s="60">
        <f t="shared" si="15"/>
        <v>435.0840952616501</v>
      </c>
      <c r="G223" s="74" t="s">
        <v>164</v>
      </c>
      <c r="H223" s="70">
        <f t="shared" si="17"/>
        <v>3.3007332192413514</v>
      </c>
    </row>
    <row r="224" spans="2:8" ht="12.75">
      <c r="B224" s="43">
        <f t="shared" si="16"/>
        <v>1.299618320610687</v>
      </c>
      <c r="C224" s="47" t="s">
        <v>37</v>
      </c>
      <c r="D224" s="97">
        <f>'Inspect &amp; Adjust Beats'!H36</f>
        <v>453.7055837695451</v>
      </c>
      <c r="E224" s="50">
        <f t="shared" si="18"/>
        <v>15.320755288653686</v>
      </c>
      <c r="F224" s="60">
        <f t="shared" si="15"/>
        <v>449.2746177377975</v>
      </c>
      <c r="G224" s="74" t="s">
        <v>628</v>
      </c>
      <c r="H224" s="70">
        <f t="shared" si="17"/>
        <v>4.43096603174763</v>
      </c>
    </row>
    <row r="225" spans="2:8" ht="12.75">
      <c r="B225" s="43">
        <f t="shared" si="16"/>
        <v>1.3110687022900764</v>
      </c>
      <c r="C225" s="47" t="s">
        <v>38</v>
      </c>
      <c r="D225" s="97">
        <f>'Inspect &amp; Adjust Beats'!H37</f>
        <v>468.89194473678</v>
      </c>
      <c r="E225" s="50">
        <f t="shared" si="18"/>
        <v>15.186360967234862</v>
      </c>
      <c r="F225" s="60">
        <f t="shared" si="15"/>
        <v>470.7809073345124</v>
      </c>
      <c r="G225" s="74" t="s">
        <v>166</v>
      </c>
      <c r="H225" s="70">
        <f t="shared" si="17"/>
        <v>-1.8889625977324158</v>
      </c>
    </row>
    <row r="226" spans="2:8" ht="12.75">
      <c r="B226" s="44">
        <f t="shared" si="16"/>
        <v>1.3225190839694656</v>
      </c>
      <c r="C226" s="47" t="s">
        <v>39</v>
      </c>
      <c r="D226" s="97">
        <f>'Inspect &amp; Adjust Beats'!H38</f>
        <v>483.9462487197161</v>
      </c>
      <c r="E226" s="50">
        <f t="shared" si="18"/>
        <v>15.05430398293612</v>
      </c>
      <c r="F226" s="61">
        <f t="shared" si="15"/>
        <v>480.64551550047463</v>
      </c>
      <c r="G226" s="75" t="s">
        <v>167</v>
      </c>
      <c r="H226" s="71">
        <f t="shared" si="17"/>
        <v>3.300733219241465</v>
      </c>
    </row>
    <row r="227" spans="2:8" ht="12.75">
      <c r="B227" s="54">
        <f t="shared" si="16"/>
        <v>1.333333333333332</v>
      </c>
      <c r="C227" s="48" t="s">
        <v>40</v>
      </c>
      <c r="D227" s="99">
        <f>'Inspect &amp; Adjust Beats'!H39</f>
        <v>498.0449991346107</v>
      </c>
      <c r="E227" s="51">
        <f t="shared" si="18"/>
        <v>14.098750414894596</v>
      </c>
      <c r="F227" s="69">
        <f t="shared" si="15"/>
        <v>498.04499913461245</v>
      </c>
      <c r="G227" s="76" t="s">
        <v>152</v>
      </c>
      <c r="H227" s="72">
        <f t="shared" si="17"/>
        <v>-1.7621459846850485E-12</v>
      </c>
    </row>
    <row r="228" spans="2:8" ht="12.75">
      <c r="B228" s="45">
        <f t="shared" si="16"/>
        <v>1.3454198473282444</v>
      </c>
      <c r="C228" s="47" t="s">
        <v>41</v>
      </c>
      <c r="D228" s="97">
        <f>'Inspect &amp; Adjust Beats'!H40</f>
        <v>513.667734898447</v>
      </c>
      <c r="E228" s="50">
        <f t="shared" si="18"/>
        <v>15.62273576383626</v>
      </c>
      <c r="F228" s="62">
        <f t="shared" si="15"/>
        <v>519.5512887313275</v>
      </c>
      <c r="G228" s="77" t="s">
        <v>168</v>
      </c>
      <c r="H228" s="73">
        <f t="shared" si="17"/>
        <v>-5.88355383288058</v>
      </c>
    </row>
    <row r="229" spans="2:8" ht="12.75">
      <c r="B229" s="43">
        <f t="shared" si="16"/>
        <v>1.3568702290076335</v>
      </c>
      <c r="C229" s="47" t="s">
        <v>42</v>
      </c>
      <c r="D229" s="97">
        <f>'Inspect &amp; Adjust Beats'!H41</f>
        <v>528.339297698358</v>
      </c>
      <c r="E229" s="50">
        <f t="shared" si="18"/>
        <v>14.671562799911044</v>
      </c>
      <c r="F229" s="60">
        <f t="shared" si="15"/>
        <v>528.6871096631778</v>
      </c>
      <c r="G229" s="74" t="s">
        <v>629</v>
      </c>
      <c r="H229" s="70">
        <f t="shared" si="17"/>
        <v>-0.3478119648198117</v>
      </c>
    </row>
    <row r="230" spans="2:8" ht="12.75">
      <c r="B230" s="43">
        <f t="shared" si="16"/>
        <v>1.3692748091603055</v>
      </c>
      <c r="C230" s="47" t="s">
        <v>43</v>
      </c>
      <c r="D230" s="97">
        <f>'Inspect &amp; Adjust Beats'!H42</f>
        <v>544.0944240307199</v>
      </c>
      <c r="E230" s="50">
        <f t="shared" si="18"/>
        <v>15.755126332361897</v>
      </c>
      <c r="F230" s="60">
        <f t="shared" si="15"/>
        <v>543.014645637008</v>
      </c>
      <c r="G230" s="74" t="s">
        <v>631</v>
      </c>
      <c r="H230" s="70">
        <f t="shared" si="17"/>
        <v>1.0797783937118766</v>
      </c>
    </row>
    <row r="231" spans="2:8" ht="12.75">
      <c r="B231" s="43">
        <f t="shared" si="16"/>
        <v>1.3807251908396947</v>
      </c>
      <c r="C231" s="47" t="s">
        <v>44</v>
      </c>
      <c r="D231" s="97">
        <f>'Inspect &amp; Adjust Beats'!H43</f>
        <v>558.5114459931292</v>
      </c>
      <c r="E231" s="50">
        <f t="shared" si="18"/>
        <v>14.417021962409308</v>
      </c>
      <c r="F231" s="60">
        <f t="shared" si="15"/>
        <v>551.3179423647567</v>
      </c>
      <c r="G231" s="74" t="s">
        <v>171</v>
      </c>
      <c r="H231" s="70">
        <f t="shared" si="17"/>
        <v>7.1935036283724685</v>
      </c>
    </row>
    <row r="232" spans="2:8" ht="12.75">
      <c r="B232" s="43">
        <f t="shared" si="16"/>
        <v>1.3931297709923667</v>
      </c>
      <c r="C232" s="47" t="s">
        <v>45</v>
      </c>
      <c r="D232" s="97">
        <f>'Inspect &amp; Adjust Beats'!H44</f>
        <v>573.9955826759152</v>
      </c>
      <c r="E232" s="50">
        <f t="shared" si="18"/>
        <v>15.484136682786016</v>
      </c>
      <c r="F232" s="60">
        <f t="shared" si="15"/>
        <v>568.7174259988948</v>
      </c>
      <c r="G232" s="74" t="s">
        <v>633</v>
      </c>
      <c r="H232" s="70">
        <f t="shared" si="17"/>
        <v>5.278156677020434</v>
      </c>
    </row>
    <row r="233" spans="2:8" ht="12.75">
      <c r="B233" s="43">
        <f t="shared" si="16"/>
        <v>1.4055343511450382</v>
      </c>
      <c r="C233" s="47" t="s">
        <v>46</v>
      </c>
      <c r="D233" s="97">
        <f>'Inspect &amp; Adjust Beats'!H45</f>
        <v>589.3424561980788</v>
      </c>
      <c r="E233" s="50">
        <f t="shared" si="18"/>
        <v>15.346873522163605</v>
      </c>
      <c r="F233" s="60">
        <f t="shared" si="15"/>
        <v>582.51219260429</v>
      </c>
      <c r="G233" s="74" t="s">
        <v>632</v>
      </c>
      <c r="H233" s="70">
        <f t="shared" si="17"/>
        <v>6.8302635937888</v>
      </c>
    </row>
    <row r="234" spans="2:8" ht="12.75">
      <c r="B234" s="43">
        <f t="shared" si="16"/>
        <v>1.4169847328244274</v>
      </c>
      <c r="C234" s="47" t="s">
        <v>47</v>
      </c>
      <c r="D234" s="97">
        <f>'Inspect &amp; Adjust Beats'!H46</f>
        <v>603.3890569808133</v>
      </c>
      <c r="E234" s="50">
        <f t="shared" si="18"/>
        <v>14.046600782734458</v>
      </c>
      <c r="F234" s="60">
        <f t="shared" si="15"/>
        <v>603.00040863502</v>
      </c>
      <c r="G234" s="74" t="s">
        <v>299</v>
      </c>
      <c r="H234" s="70">
        <f t="shared" si="17"/>
        <v>0.38864834579328544</v>
      </c>
    </row>
    <row r="235" spans="2:8" ht="12.75">
      <c r="B235" s="43">
        <f t="shared" si="16"/>
        <v>1.430343511450382</v>
      </c>
      <c r="C235" s="47" t="s">
        <v>48</v>
      </c>
      <c r="D235" s="97">
        <f>'Inspect &amp; Adjust Beats'!H47</f>
        <v>619.6339996924913</v>
      </c>
      <c r="E235" s="50">
        <f t="shared" si="18"/>
        <v>16.24494271167805</v>
      </c>
      <c r="F235" s="60">
        <f t="shared" si="15"/>
        <v>617.4878073957099</v>
      </c>
      <c r="G235" s="74" t="s">
        <v>175</v>
      </c>
      <c r="H235" s="70">
        <f t="shared" si="17"/>
        <v>2.1461922967814644</v>
      </c>
    </row>
    <row r="236" spans="2:8" ht="12.75">
      <c r="B236" s="43">
        <f t="shared" si="16"/>
        <v>1.4427480916030535</v>
      </c>
      <c r="C236" s="47" t="s">
        <v>49</v>
      </c>
      <c r="D236" s="97">
        <f>'Inspect &amp; Adjust Beats'!H48</f>
        <v>634.5833072203469</v>
      </c>
      <c r="E236" s="50">
        <f t="shared" si="18"/>
        <v>14.94930752785558</v>
      </c>
      <c r="F236" s="60">
        <f t="shared" si="15"/>
        <v>628.2743472684156</v>
      </c>
      <c r="G236" s="74" t="s">
        <v>634</v>
      </c>
      <c r="H236" s="70">
        <f t="shared" si="17"/>
        <v>6.308959951931342</v>
      </c>
    </row>
    <row r="237" spans="2:8" ht="12.75">
      <c r="B237" s="43">
        <f t="shared" si="16"/>
        <v>1.4551526717557253</v>
      </c>
      <c r="C237" s="47" t="s">
        <v>50</v>
      </c>
      <c r="D237" s="97">
        <f>'Inspect &amp; Adjust Beats'!H49</f>
        <v>649.4046309601929</v>
      </c>
      <c r="E237" s="50">
        <f t="shared" si="18"/>
        <v>14.82132373984598</v>
      </c>
      <c r="F237" s="60">
        <f t="shared" si="15"/>
        <v>648.6820576352434</v>
      </c>
      <c r="G237" s="74" t="s">
        <v>300</v>
      </c>
      <c r="H237" s="70">
        <f t="shared" si="17"/>
        <v>0.7225733249495079</v>
      </c>
    </row>
    <row r="238" spans="2:8" ht="12.75">
      <c r="B238" s="43">
        <f t="shared" si="16"/>
        <v>1.4685114503816794</v>
      </c>
      <c r="C238" s="47" t="s">
        <v>51</v>
      </c>
      <c r="D238" s="97">
        <f>'Inspect &amp; Adjust Beats'!H50</f>
        <v>665.2254177489119</v>
      </c>
      <c r="E238" s="50">
        <f t="shared" si="18"/>
        <v>15.820786788719033</v>
      </c>
      <c r="F238" s="60">
        <f t="shared" si="15"/>
        <v>663.0492276345343</v>
      </c>
      <c r="G238" s="74" t="s">
        <v>635</v>
      </c>
      <c r="H238" s="70">
        <f t="shared" si="17"/>
        <v>2.1761901143776186</v>
      </c>
    </row>
    <row r="239" spans="2:8" ht="12.75">
      <c r="B239" s="43">
        <f t="shared" si="16"/>
        <v>1.4809160305343512</v>
      </c>
      <c r="C239" s="47" t="s">
        <v>52</v>
      </c>
      <c r="D239" s="97">
        <f>'Inspect &amp; Adjust Beats'!H51</f>
        <v>679.7878087796129</v>
      </c>
      <c r="E239" s="50">
        <f t="shared" si="18"/>
        <v>14.562391030700951</v>
      </c>
      <c r="F239" s="61">
        <f t="shared" si="15"/>
        <v>678.71661102507</v>
      </c>
      <c r="G239" s="75" t="s">
        <v>636</v>
      </c>
      <c r="H239" s="71">
        <f t="shared" si="17"/>
        <v>1.0711977545428226</v>
      </c>
    </row>
    <row r="240" spans="2:8" ht="12.75">
      <c r="B240" s="55">
        <f t="shared" si="16"/>
        <v>1.5</v>
      </c>
      <c r="C240" s="48" t="s">
        <v>53</v>
      </c>
      <c r="D240" s="99">
        <f>'Inspect &amp; Adjust Beats'!H52</f>
        <v>701.9550008653873</v>
      </c>
      <c r="E240" s="51">
        <f t="shared" si="18"/>
        <v>22.167192085774445</v>
      </c>
      <c r="F240" s="69">
        <f t="shared" si="15"/>
        <v>701.9550008653874</v>
      </c>
      <c r="G240" s="76" t="s">
        <v>153</v>
      </c>
      <c r="H240" s="72">
        <f t="shared" si="17"/>
        <v>-1.1368683772161603E-13</v>
      </c>
    </row>
    <row r="241" spans="2:8" ht="12.75">
      <c r="B241" s="43">
        <f t="shared" si="16"/>
        <v>1.5133587786259544</v>
      </c>
      <c r="C241" s="47" t="s">
        <v>54</v>
      </c>
      <c r="D241" s="97">
        <f>'Inspect &amp; Adjust Beats'!H53</f>
        <v>717.3048649998337</v>
      </c>
      <c r="E241" s="50">
        <f t="shared" si="18"/>
        <v>15.34986413444642</v>
      </c>
      <c r="F241" s="62">
        <f t="shared" si="15"/>
        <v>719.3544844995255</v>
      </c>
      <c r="G241" s="77" t="s">
        <v>180</v>
      </c>
      <c r="H241" s="73">
        <f t="shared" si="17"/>
        <v>-2.049619499691744</v>
      </c>
    </row>
    <row r="242" spans="2:8" ht="12.75">
      <c r="B242" s="43">
        <f t="shared" si="16"/>
        <v>1.5267175572519085</v>
      </c>
      <c r="C242" s="47" t="s">
        <v>55</v>
      </c>
      <c r="D242" s="97">
        <f>'Inspect &amp; Adjust Beats'!H54</f>
        <v>732.5198258847294</v>
      </c>
      <c r="E242" s="50">
        <f t="shared" si="18"/>
        <v>15.214960884895618</v>
      </c>
      <c r="F242" s="60">
        <f t="shared" si="15"/>
        <v>732.064178020784</v>
      </c>
      <c r="G242" s="74" t="s">
        <v>637</v>
      </c>
      <c r="H242" s="70">
        <f t="shared" si="17"/>
        <v>0.45564786394538714</v>
      </c>
    </row>
    <row r="243" spans="2:8" ht="12.75">
      <c r="B243" s="43">
        <f t="shared" si="16"/>
        <v>1.5400763358778629</v>
      </c>
      <c r="C243" s="47" t="s">
        <v>56</v>
      </c>
      <c r="D243" s="97">
        <f>'Inspect &amp; Adjust Beats'!H55</f>
        <v>747.6022340883961</v>
      </c>
      <c r="E243" s="50">
        <f t="shared" si="18"/>
        <v>15.082408203666773</v>
      </c>
      <c r="F243" s="60">
        <f t="shared" si="15"/>
        <v>745.7860520955244</v>
      </c>
      <c r="G243" s="74" t="s">
        <v>638</v>
      </c>
      <c r="H243" s="70">
        <f t="shared" si="17"/>
        <v>1.8161819928717478</v>
      </c>
    </row>
    <row r="244" spans="2:8" ht="12.75">
      <c r="B244" s="43">
        <f t="shared" si="16"/>
        <v>1.5534351145038168</v>
      </c>
      <c r="C244" s="47" t="s">
        <v>57</v>
      </c>
      <c r="D244" s="97">
        <f>'Inspect &amp; Adjust Beats'!H56</f>
        <v>762.554379274556</v>
      </c>
      <c r="E244" s="50">
        <f t="shared" si="18"/>
        <v>14.952145186159896</v>
      </c>
      <c r="F244" s="60">
        <f t="shared" si="15"/>
        <v>764.9159047383502</v>
      </c>
      <c r="G244" s="74" t="s">
        <v>183</v>
      </c>
      <c r="H244" s="70">
        <f t="shared" si="17"/>
        <v>-2.3615254637941234</v>
      </c>
    </row>
    <row r="245" spans="2:8" ht="12.75">
      <c r="B245" s="43">
        <f t="shared" si="16"/>
        <v>1.566793893129771</v>
      </c>
      <c r="C245" s="47" t="s">
        <v>58</v>
      </c>
      <c r="D245" s="97">
        <f>'Inspect &amp; Adjust Beats'!H57</f>
        <v>777.3784922884254</v>
      </c>
      <c r="E245" s="50">
        <f t="shared" si="18"/>
        <v>14.82411301386935</v>
      </c>
      <c r="F245" s="60">
        <f t="shared" si="15"/>
        <v>782.4920358956317</v>
      </c>
      <c r="G245" s="74" t="s">
        <v>303</v>
      </c>
      <c r="H245" s="70">
        <f t="shared" si="17"/>
        <v>-5.1135436072063385</v>
      </c>
    </row>
    <row r="246" spans="2:8" ht="12.75">
      <c r="B246" s="43">
        <f t="shared" si="16"/>
        <v>1.5801526717557255</v>
      </c>
      <c r="C246" s="47" t="s">
        <v>59</v>
      </c>
      <c r="D246" s="97">
        <f>'Inspect &amp; Adjust Beats'!H58</f>
        <v>792.0767471542501</v>
      </c>
      <c r="E246" s="50">
        <f t="shared" si="18"/>
        <v>14.698254865824765</v>
      </c>
      <c r="F246" s="60">
        <f t="shared" si="15"/>
        <v>795.5580152669153</v>
      </c>
      <c r="G246" s="74" t="s">
        <v>639</v>
      </c>
      <c r="H246" s="70">
        <f t="shared" si="17"/>
        <v>-3.481268112665134</v>
      </c>
    </row>
    <row r="247" spans="2:8" ht="12.75">
      <c r="B247" s="43">
        <f t="shared" si="16"/>
        <v>1.5944656488549618</v>
      </c>
      <c r="C247" s="47" t="s">
        <v>60</v>
      </c>
      <c r="D247" s="97">
        <f>'Inspect &amp; Adjust Beats'!H59</f>
        <v>807.6876198284851</v>
      </c>
      <c r="E247" s="50">
        <f t="shared" si="18"/>
        <v>15.610872674234997</v>
      </c>
      <c r="F247" s="60">
        <f t="shared" si="15"/>
        <v>813.6862861351653</v>
      </c>
      <c r="G247" s="74" t="s">
        <v>186</v>
      </c>
      <c r="H247" s="70">
        <f t="shared" si="17"/>
        <v>-5.998666306680207</v>
      </c>
    </row>
    <row r="248" spans="2:8" ht="12.75">
      <c r="B248" s="43">
        <f t="shared" si="16"/>
        <v>1.6078244274809161</v>
      </c>
      <c r="C248" s="47" t="s">
        <v>61</v>
      </c>
      <c r="D248" s="97">
        <f>'Inspect &amp; Adjust Beats'!H60</f>
        <v>822.1318494381247</v>
      </c>
      <c r="E248" s="50">
        <f t="shared" si="18"/>
        <v>14.444229609639592</v>
      </c>
      <c r="F248" s="60">
        <f t="shared" si="15"/>
        <v>823.0696914863244</v>
      </c>
      <c r="G248" s="74" t="s">
        <v>640</v>
      </c>
      <c r="H248" s="70">
        <f t="shared" si="17"/>
        <v>-0.9378420481996272</v>
      </c>
    </row>
    <row r="249" spans="2:8" ht="12.75">
      <c r="B249" s="43">
        <f t="shared" si="16"/>
        <v>1.6221374045801527</v>
      </c>
      <c r="C249" s="47" t="s">
        <v>62</v>
      </c>
      <c r="D249" s="97">
        <f>'Inspect &amp; Adjust Beats'!H61</f>
        <v>837.4752353851366</v>
      </c>
      <c r="E249" s="50">
        <f t="shared" si="18"/>
        <v>15.343385947011825</v>
      </c>
      <c r="F249" s="60">
        <f t="shared" si="15"/>
        <v>840.5276617693106</v>
      </c>
      <c r="G249" s="74" t="s">
        <v>304</v>
      </c>
      <c r="H249" s="70">
        <f t="shared" si="17"/>
        <v>-3.052426384174055</v>
      </c>
    </row>
    <row r="250" spans="2:8" ht="12.75">
      <c r="B250" s="43">
        <f t="shared" si="16"/>
        <v>1.6364503816793894</v>
      </c>
      <c r="C250" s="47" t="s">
        <v>63</v>
      </c>
      <c r="D250" s="97">
        <f>'Inspect &amp; Adjust Beats'!H62</f>
        <v>852.6838314272693</v>
      </c>
      <c r="E250" s="50">
        <f t="shared" si="18"/>
        <v>15.20859604213274</v>
      </c>
      <c r="F250" s="60">
        <f t="shared" si="15"/>
        <v>852.5920593660184</v>
      </c>
      <c r="G250" s="74" t="s">
        <v>305</v>
      </c>
      <c r="H250" s="70">
        <f t="shared" si="17"/>
        <v>0.09177206125093562</v>
      </c>
    </row>
    <row r="251" spans="2:8" ht="12.75">
      <c r="B251" s="43">
        <f t="shared" si="16"/>
        <v>1.650763358778626</v>
      </c>
      <c r="C251" s="47" t="s">
        <v>64</v>
      </c>
      <c r="D251" s="97">
        <f>'Inspect &amp; Adjust Beats'!H63</f>
        <v>867.759985183964</v>
      </c>
      <c r="E251" s="50">
        <f t="shared" si="18"/>
        <v>15.07615375669468</v>
      </c>
      <c r="F251" s="60">
        <f t="shared" si="15"/>
        <v>863.8704969687176</v>
      </c>
      <c r="G251" s="74" t="s">
        <v>306</v>
      </c>
      <c r="H251" s="70">
        <f t="shared" si="17"/>
        <v>3.889488215246388</v>
      </c>
    </row>
    <row r="252" spans="2:8" ht="12.75">
      <c r="B252" s="43">
        <f t="shared" si="16"/>
        <v>1.6650763358778626</v>
      </c>
      <c r="C252" s="47" t="s">
        <v>65</v>
      </c>
      <c r="D252" s="97">
        <f>'Inspect &amp; Adjust Beats'!H64</f>
        <v>882.7059834714771</v>
      </c>
      <c r="E252" s="50">
        <f t="shared" si="18"/>
        <v>14.945998287513135</v>
      </c>
      <c r="F252" s="61">
        <f t="shared" si="15"/>
        <v>884.3587129994474</v>
      </c>
      <c r="G252" s="75" t="s">
        <v>155</v>
      </c>
      <c r="H252" s="71">
        <f t="shared" si="17"/>
        <v>-1.6527295279703367</v>
      </c>
    </row>
    <row r="253" spans="2:8" ht="12.75">
      <c r="B253" s="55">
        <f t="shared" si="16"/>
        <v>1.6793893129770994</v>
      </c>
      <c r="C253" s="48" t="s">
        <v>66</v>
      </c>
      <c r="D253" s="99">
        <f>'Inspect &amp; Adjust Beats'!H65</f>
        <v>897.5240543846511</v>
      </c>
      <c r="E253" s="51">
        <f t="shared" si="18"/>
        <v>14.818070913173983</v>
      </c>
      <c r="F253" s="69">
        <f t="shared" si="15"/>
        <v>905.8650025961624</v>
      </c>
      <c r="G253" s="76" t="s">
        <v>301</v>
      </c>
      <c r="H253" s="72">
        <f t="shared" si="17"/>
        <v>-8.340948211511318</v>
      </c>
    </row>
    <row r="254" spans="2:8" ht="12.75">
      <c r="B254" s="43">
        <f t="shared" si="16"/>
        <v>1.6946564885496183</v>
      </c>
      <c r="C254" s="47" t="s">
        <v>67</v>
      </c>
      <c r="D254" s="97">
        <f>'Inspect &amp; Adjust Beats'!H66</f>
        <v>913.1914377751868</v>
      </c>
      <c r="E254" s="50">
        <f t="shared" si="18"/>
        <v>15.667383390535747</v>
      </c>
      <c r="F254" s="62">
        <f t="shared" si="15"/>
        <v>918.6416956355724</v>
      </c>
      <c r="G254" s="77" t="s">
        <v>302</v>
      </c>
      <c r="H254" s="73">
        <f t="shared" si="17"/>
        <v>-5.450257860385591</v>
      </c>
    </row>
    <row r="255" spans="2:8" ht="12.75">
      <c r="B255" s="43">
        <f t="shared" si="16"/>
        <v>1.7089694656488552</v>
      </c>
      <c r="C255" s="47" t="s">
        <v>68</v>
      </c>
      <c r="D255" s="97">
        <f>'Inspect &amp; Adjust Beats'!H67</f>
        <v>927.7519445382131</v>
      </c>
      <c r="E255" s="50">
        <f t="shared" si="18"/>
        <v>14.560506763026297</v>
      </c>
      <c r="F255" s="60">
        <f t="shared" si="15"/>
        <v>933.1290943962623</v>
      </c>
      <c r="G255" s="74" t="s">
        <v>641</v>
      </c>
      <c r="H255" s="70">
        <f t="shared" si="17"/>
        <v>-5.377149858049165</v>
      </c>
    </row>
    <row r="256" spans="2:8" ht="12.75">
      <c r="B256" s="43">
        <f t="shared" si="16"/>
        <v>1.7251908396946565</v>
      </c>
      <c r="C256" s="47" t="s">
        <v>69</v>
      </c>
      <c r="D256" s="97">
        <f>'Inspect &amp; Adjust Beats'!H68</f>
        <v>944.1071530532848</v>
      </c>
      <c r="E256" s="50">
        <f t="shared" si="18"/>
        <v>16.355208515071695</v>
      </c>
      <c r="F256" s="60">
        <f t="shared" si="15"/>
        <v>943.050233576583</v>
      </c>
      <c r="G256" s="74" t="s">
        <v>642</v>
      </c>
      <c r="H256" s="70">
        <f t="shared" si="17"/>
        <v>1.0569194767018644</v>
      </c>
    </row>
    <row r="257" spans="2:8" ht="12.75">
      <c r="B257" s="43">
        <f t="shared" si="16"/>
        <v>1.7404580152671758</v>
      </c>
      <c r="C257" s="47" t="s">
        <v>70</v>
      </c>
      <c r="D257" s="97">
        <f>'Inspect &amp; Adjust Beats'!H69</f>
        <v>959.3604151527497</v>
      </c>
      <c r="E257" s="50">
        <f t="shared" si="18"/>
        <v>15.253262099464905</v>
      </c>
      <c r="F257" s="60">
        <f t="shared" si="15"/>
        <v>958.0393665964193</v>
      </c>
      <c r="G257" s="74" t="s">
        <v>643</v>
      </c>
      <c r="H257" s="70">
        <f t="shared" si="17"/>
        <v>1.3210485563304246</v>
      </c>
    </row>
    <row r="258" spans="2:8" ht="12.75">
      <c r="B258" s="43">
        <f t="shared" si="16"/>
        <v>1.7547709923664123</v>
      </c>
      <c r="C258" s="47" t="s">
        <v>71</v>
      </c>
      <c r="D258" s="97">
        <f>'Inspect &amp; Adjust Beats'!H70</f>
        <v>973.539315449385</v>
      </c>
      <c r="E258" s="50">
        <f t="shared" si="18"/>
        <v>14.17890029663522</v>
      </c>
      <c r="F258" s="60">
        <f t="shared" si="15"/>
        <v>968.8259064691249</v>
      </c>
      <c r="G258" s="74" t="s">
        <v>644</v>
      </c>
      <c r="H258" s="70">
        <f t="shared" si="17"/>
        <v>4.713408980260056</v>
      </c>
    </row>
    <row r="259" spans="2:8" ht="12.75">
      <c r="B259" s="43">
        <f aca="true" t="shared" si="19" ref="B259:B273">10^((LOG10(2))*(D259/1200))</f>
        <v>1.7700381679389314</v>
      </c>
      <c r="C259" s="47" t="s">
        <v>72</v>
      </c>
      <c r="D259" s="97">
        <f>'Inspect &amp; Adjust Beats'!H71</f>
        <v>988.5365639648585</v>
      </c>
      <c r="E259" s="50">
        <f t="shared" si="18"/>
        <v>14.99724851547353</v>
      </c>
      <c r="F259" s="60">
        <f aca="true" t="shared" si="20" ref="F259:F273">LOG(LEFT(G259,FIND("/",G259)-1)/RIGHT(G259,LEN(G259)-FIND("/",G259)),2)*1200</f>
        <v>996.0899982692251</v>
      </c>
      <c r="G259" s="74" t="s">
        <v>193</v>
      </c>
      <c r="H259" s="70">
        <f aca="true" t="shared" si="21" ref="H259:H273">(D259-F259)</f>
        <v>-7.553434304366647</v>
      </c>
    </row>
    <row r="260" spans="2:8" ht="12.75">
      <c r="B260" s="43">
        <f t="shared" si="19"/>
        <v>1.7854113655640345</v>
      </c>
      <c r="C260" s="47" t="s">
        <v>73</v>
      </c>
      <c r="D260" s="97">
        <f>'Inspect &amp; Adjust Beats'!H72</f>
        <v>1003.507817968792</v>
      </c>
      <c r="E260" s="50">
        <f aca="true" t="shared" si="22" ref="E260:E273">D260-D259</f>
        <v>14.971254003933495</v>
      </c>
      <c r="F260" s="60">
        <f t="shared" si="20"/>
        <v>1003.8015212605447</v>
      </c>
      <c r="G260" s="74" t="s">
        <v>307</v>
      </c>
      <c r="H260" s="70">
        <f t="shared" si="21"/>
        <v>-0.2937032917527631</v>
      </c>
    </row>
    <row r="261" spans="2:8" ht="12.75">
      <c r="B261" s="43">
        <f t="shared" si="19"/>
        <v>1.801526717557252</v>
      </c>
      <c r="C261" s="47" t="s">
        <v>74</v>
      </c>
      <c r="D261" s="97">
        <f>'Inspect &amp; Adjust Beats'!H73</f>
        <v>1019.064057389269</v>
      </c>
      <c r="E261" s="50">
        <f t="shared" si="22"/>
        <v>15.556239420477027</v>
      </c>
      <c r="F261" s="60">
        <f t="shared" si="20"/>
        <v>1017.5962878659401</v>
      </c>
      <c r="G261" s="74" t="s">
        <v>196</v>
      </c>
      <c r="H261" s="70">
        <f t="shared" si="21"/>
        <v>1.4677695233289114</v>
      </c>
    </row>
    <row r="262" spans="2:8" ht="12.75">
      <c r="B262" s="43">
        <f t="shared" si="19"/>
        <v>1.8167938931297711</v>
      </c>
      <c r="C262" s="47" t="s">
        <v>75</v>
      </c>
      <c r="D262" s="97">
        <f>'Inspect &amp; Adjust Beats'!H74</f>
        <v>1033.673714124592</v>
      </c>
      <c r="E262" s="50">
        <f t="shared" si="22"/>
        <v>14.609656735322915</v>
      </c>
      <c r="F262" s="60">
        <f t="shared" si="20"/>
        <v>1034.995771500078</v>
      </c>
      <c r="G262" s="74" t="s">
        <v>308</v>
      </c>
      <c r="H262" s="70">
        <f t="shared" si="21"/>
        <v>-1.3220573754861107</v>
      </c>
    </row>
    <row r="263" spans="2:8" ht="12.75">
      <c r="B263" s="43">
        <f t="shared" si="19"/>
        <v>1.833015267175573</v>
      </c>
      <c r="C263" s="47" t="s">
        <v>76</v>
      </c>
      <c r="D263" s="97">
        <f>'Inspect &amp; Adjust Beats'!H75</f>
        <v>1049.0625625536925</v>
      </c>
      <c r="E263" s="50">
        <f t="shared" si="22"/>
        <v>15.388848429100562</v>
      </c>
      <c r="F263" s="60">
        <f t="shared" si="20"/>
        <v>1049.3629414993693</v>
      </c>
      <c r="G263" s="74" t="s">
        <v>309</v>
      </c>
      <c r="H263" s="70">
        <f t="shared" si="21"/>
        <v>-0.3003789456768118</v>
      </c>
    </row>
    <row r="264" spans="2:8" ht="12.75">
      <c r="B264" s="43">
        <f t="shared" si="19"/>
        <v>1.8492366412213739</v>
      </c>
      <c r="C264" s="47" t="s">
        <v>77</v>
      </c>
      <c r="D264" s="97">
        <f>'Inspect &amp; Adjust Beats'!H76</f>
        <v>1064.3158246531568</v>
      </c>
      <c r="E264" s="50">
        <f t="shared" si="22"/>
        <v>15.253262099464337</v>
      </c>
      <c r="F264" s="60">
        <f t="shared" si="20"/>
        <v>1065.030324889905</v>
      </c>
      <c r="G264" s="74" t="s">
        <v>645</v>
      </c>
      <c r="H264" s="70">
        <f t="shared" si="21"/>
        <v>-0.7145002367481084</v>
      </c>
    </row>
    <row r="265" spans="2:8" ht="12.75">
      <c r="B265" s="43">
        <f t="shared" si="19"/>
        <v>1.8654580152671758</v>
      </c>
      <c r="C265" s="47" t="s">
        <v>78</v>
      </c>
      <c r="D265" s="97">
        <f>'Inspect &amp; Adjust Beats'!H77</f>
        <v>1079.4358687887172</v>
      </c>
      <c r="E265" s="50">
        <f t="shared" si="22"/>
        <v>15.12004413556042</v>
      </c>
      <c r="F265" s="61">
        <f t="shared" si="20"/>
        <v>1080.5571917389027</v>
      </c>
      <c r="G265" s="75" t="s">
        <v>310</v>
      </c>
      <c r="H265" s="71">
        <f t="shared" si="21"/>
        <v>-1.1213229501854585</v>
      </c>
    </row>
    <row r="266" spans="2:8" ht="12.75">
      <c r="B266" s="55">
        <f t="shared" si="19"/>
        <v>1.880725190839695</v>
      </c>
      <c r="C266" s="48" t="s">
        <v>79</v>
      </c>
      <c r="D266" s="99">
        <f>'Inspect &amp; Adjust Beats'!H78</f>
        <v>1093.5468714072426</v>
      </c>
      <c r="E266" s="51">
        <f t="shared" si="22"/>
        <v>14.11100261852539</v>
      </c>
      <c r="F266" s="69">
        <f t="shared" si="20"/>
        <v>1088.2687147302222</v>
      </c>
      <c r="G266" s="76" t="s">
        <v>311</v>
      </c>
      <c r="H266" s="72">
        <f t="shared" si="21"/>
        <v>5.278156677020434</v>
      </c>
    </row>
    <row r="267" spans="2:8" ht="12.75">
      <c r="B267" s="43">
        <f t="shared" si="19"/>
        <v>1.8979007633587788</v>
      </c>
      <c r="C267" s="47" t="s">
        <v>80</v>
      </c>
      <c r="D267" s="97">
        <f>'Inspect &amp; Adjust Beats'!H79</f>
        <v>1109.2854711555524</v>
      </c>
      <c r="E267" s="50">
        <f t="shared" si="22"/>
        <v>15.738599748309753</v>
      </c>
      <c r="F267" s="62">
        <f t="shared" si="20"/>
        <v>1109.775004326937</v>
      </c>
      <c r="G267" s="77" t="s">
        <v>313</v>
      </c>
      <c r="H267" s="73">
        <f t="shared" si="21"/>
        <v>-0.48953317138466446</v>
      </c>
    </row>
    <row r="268" spans="2:8" ht="12.75">
      <c r="B268" s="43">
        <f t="shared" si="19"/>
        <v>1.9141221374045803</v>
      </c>
      <c r="C268" s="47" t="s">
        <v>81</v>
      </c>
      <c r="D268" s="97">
        <f>'Inspect &amp; Adjust Beats'!H80</f>
        <v>1124.0194668896766</v>
      </c>
      <c r="E268" s="50">
        <f t="shared" si="22"/>
        <v>14.733995734124164</v>
      </c>
      <c r="F268" s="60">
        <f t="shared" si="20"/>
        <v>1119.4629649697556</v>
      </c>
      <c r="G268" s="74" t="s">
        <v>646</v>
      </c>
      <c r="H268" s="70">
        <f t="shared" si="21"/>
        <v>4.556501919920947</v>
      </c>
    </row>
    <row r="269" spans="2:8" ht="12.75">
      <c r="B269" s="43">
        <f t="shared" si="19"/>
        <v>1.9312977099236641</v>
      </c>
      <c r="C269" s="47" t="s">
        <v>82</v>
      </c>
      <c r="D269" s="97">
        <f>'Inspect &amp; Adjust Beats'!H81</f>
        <v>1139.484687788232</v>
      </c>
      <c r="E269" s="50">
        <f t="shared" si="22"/>
        <v>15.465220898555344</v>
      </c>
      <c r="F269" s="60">
        <f t="shared" si="20"/>
        <v>1137.0390961270373</v>
      </c>
      <c r="G269" s="74" t="s">
        <v>314</v>
      </c>
      <c r="H269" s="70">
        <f t="shared" si="21"/>
        <v>2.4455916611946122</v>
      </c>
    </row>
    <row r="270" spans="2:8" ht="12.75">
      <c r="B270" s="43">
        <f t="shared" si="19"/>
        <v>1.947519083969466</v>
      </c>
      <c r="C270" s="47" t="s">
        <v>83</v>
      </c>
      <c r="D270" s="97">
        <f>'Inspect &amp; Adjust Beats'!H82</f>
        <v>1153.9649585943228</v>
      </c>
      <c r="E270" s="50">
        <f t="shared" si="22"/>
        <v>14.480270806090857</v>
      </c>
      <c r="F270" s="60">
        <f t="shared" si="20"/>
        <v>1153.8310226224373</v>
      </c>
      <c r="G270" s="74" t="s">
        <v>647</v>
      </c>
      <c r="H270" s="70">
        <f t="shared" si="21"/>
        <v>0.13393597188542117</v>
      </c>
    </row>
    <row r="271" spans="2:8" ht="12.75">
      <c r="B271" s="43">
        <f t="shared" si="19"/>
        <v>1.96469465648855</v>
      </c>
      <c r="C271" s="47" t="s">
        <v>84</v>
      </c>
      <c r="D271" s="97">
        <f>'Inspect &amp; Adjust Beats'!H83</f>
        <v>1169.1661357137648</v>
      </c>
      <c r="E271" s="50">
        <f t="shared" si="22"/>
        <v>15.201177119442036</v>
      </c>
      <c r="F271" s="60">
        <f t="shared" si="20"/>
        <v>1165.02438520858</v>
      </c>
      <c r="G271" s="74" t="s">
        <v>648</v>
      </c>
      <c r="H271" s="70">
        <f t="shared" si="21"/>
        <v>4.141750505184746</v>
      </c>
    </row>
    <row r="272" spans="2:8" ht="12.75">
      <c r="B272" s="43">
        <f t="shared" si="19"/>
        <v>1.981870229007634</v>
      </c>
      <c r="C272" s="47" t="s">
        <v>85</v>
      </c>
      <c r="D272" s="97">
        <f>'Inspect &amp; Adjust Beats'!H84</f>
        <v>1184.234999168637</v>
      </c>
      <c r="E272" s="50">
        <f t="shared" si="22"/>
        <v>15.068863454872144</v>
      </c>
      <c r="F272" s="61">
        <f t="shared" si="20"/>
        <v>1183.5900757235083</v>
      </c>
      <c r="G272" s="75" t="s">
        <v>649</v>
      </c>
      <c r="H272" s="71">
        <f t="shared" si="21"/>
        <v>0.6449234451285975</v>
      </c>
    </row>
    <row r="273" spans="2:8" ht="12.75">
      <c r="B273" s="56">
        <f t="shared" si="19"/>
        <v>2</v>
      </c>
      <c r="C273" s="49" t="s">
        <v>86</v>
      </c>
      <c r="D273" s="100">
        <f>'Inspect &amp; Adjust Beats'!H85</f>
        <v>1200</v>
      </c>
      <c r="E273" s="52">
        <f t="shared" si="22"/>
        <v>15.765000831363068</v>
      </c>
      <c r="F273" s="69">
        <f t="shared" si="20"/>
        <v>1200</v>
      </c>
      <c r="G273" s="76" t="s">
        <v>315</v>
      </c>
      <c r="H273" s="72">
        <f t="shared" si="21"/>
        <v>0</v>
      </c>
    </row>
    <row r="355" spans="4:6" ht="12.75">
      <c r="D355" s="8"/>
      <c r="F355" s="14"/>
    </row>
    <row r="356" spans="4:6" ht="12.75">
      <c r="D356" s="8"/>
      <c r="F356" s="14"/>
    </row>
    <row r="357" spans="4:6" ht="12.75">
      <c r="D357" s="8"/>
      <c r="F357" s="14"/>
    </row>
    <row r="358" spans="4:6" ht="12.75">
      <c r="D358" s="8"/>
      <c r="F358" s="14"/>
    </row>
    <row r="359" spans="4:8" ht="12.75">
      <c r="D359" s="8"/>
      <c r="F359" s="1"/>
      <c r="H359" s="14"/>
    </row>
    <row r="360" spans="4:8" ht="12.75">
      <c r="D360" s="8"/>
      <c r="F360" s="1"/>
      <c r="H360" s="14"/>
    </row>
    <row r="361" spans="4:8" ht="12.75">
      <c r="D361" s="8"/>
      <c r="F361" s="1"/>
      <c r="H361" s="14"/>
    </row>
    <row r="362" spans="4:8" ht="12.75">
      <c r="D362" s="8"/>
      <c r="F362" s="1"/>
      <c r="H362" s="14"/>
    </row>
    <row r="363" spans="4:8" ht="12.75">
      <c r="D363" s="8"/>
      <c r="F363" s="1"/>
      <c r="H363" s="14"/>
    </row>
    <row r="364" spans="4:8" ht="12.75">
      <c r="D364" s="8"/>
      <c r="F364" s="1"/>
      <c r="H364" s="14"/>
    </row>
    <row r="365" spans="4:8" ht="12.75">
      <c r="D365" s="8"/>
      <c r="F365" s="1"/>
      <c r="H365" s="14"/>
    </row>
    <row r="366" spans="4:8" ht="12.75">
      <c r="D366" s="8"/>
      <c r="F366" s="1"/>
      <c r="H366" s="14"/>
    </row>
    <row r="367" spans="4:8" ht="12.75">
      <c r="D367" s="8"/>
      <c r="F367" s="1"/>
      <c r="H367" s="14"/>
    </row>
    <row r="368" spans="4:8" ht="12.75">
      <c r="D368" s="8"/>
      <c r="F368" s="1"/>
      <c r="H368" s="14"/>
    </row>
    <row r="369" spans="4:8" ht="12.75">
      <c r="D369" s="8"/>
      <c r="F369" s="1"/>
      <c r="H369" s="14"/>
    </row>
    <row r="370" spans="4:8" ht="12.75">
      <c r="D370" s="8"/>
      <c r="F370" s="1"/>
      <c r="H370" s="14"/>
    </row>
    <row r="371" spans="4:8" ht="12.75">
      <c r="D371" s="8"/>
      <c r="F371" s="1"/>
      <c r="H371" s="14"/>
    </row>
    <row r="372" spans="4:8" ht="12.75">
      <c r="D372" s="8"/>
      <c r="F372" s="1"/>
      <c r="H372" s="14"/>
    </row>
    <row r="373" spans="4:8" ht="12.75">
      <c r="D373" s="8"/>
      <c r="F373" s="1"/>
      <c r="H373" s="14"/>
    </row>
    <row r="374" spans="4:8" ht="12.75">
      <c r="D374" s="8"/>
      <c r="F374" s="1"/>
      <c r="H374" s="14"/>
    </row>
    <row r="375" spans="4:8" ht="12.75">
      <c r="D375" s="8"/>
      <c r="F375" s="1"/>
      <c r="H375" s="14"/>
    </row>
    <row r="376" spans="4:8" ht="12.75">
      <c r="D376" s="8"/>
      <c r="F376" s="1"/>
      <c r="H376" s="14"/>
    </row>
    <row r="377" spans="4:8" ht="12.75">
      <c r="D377" s="8"/>
      <c r="F377" s="1"/>
      <c r="H377" s="14"/>
    </row>
    <row r="378" spans="4:8" ht="12.75">
      <c r="D378" s="8"/>
      <c r="F378" s="1"/>
      <c r="H378" s="14"/>
    </row>
    <row r="379" spans="4:8" ht="12.75">
      <c r="D379" s="8"/>
      <c r="F379" s="1"/>
      <c r="H379" s="14"/>
    </row>
    <row r="380" spans="4:8" ht="12.75">
      <c r="D380" s="8"/>
      <c r="F380" s="1"/>
      <c r="H380" s="14"/>
    </row>
    <row r="381" spans="4:8" ht="12.75">
      <c r="D381" s="8"/>
      <c r="F381" s="1"/>
      <c r="H381" s="14"/>
    </row>
    <row r="382" spans="4:8" ht="12.75">
      <c r="D382" s="8"/>
      <c r="F382" s="1"/>
      <c r="H382" s="14"/>
    </row>
    <row r="383" spans="4:8" ht="12.75">
      <c r="D383" s="3"/>
      <c r="E383" s="8"/>
      <c r="F383" s="1"/>
      <c r="H383" s="14"/>
    </row>
    <row r="384" spans="4:8" ht="12.75">
      <c r="D384" s="3"/>
      <c r="E384" s="8"/>
      <c r="F384" s="1"/>
      <c r="H384" s="14"/>
    </row>
    <row r="385" spans="4:8" ht="12.75">
      <c r="D385" s="3"/>
      <c r="E385" s="8"/>
      <c r="F385" s="1"/>
      <c r="H385" s="14"/>
    </row>
    <row r="386" spans="4:8" ht="12.75">
      <c r="D386" s="3"/>
      <c r="E386" s="8"/>
      <c r="F386" s="1"/>
      <c r="H386" s="14"/>
    </row>
    <row r="387" spans="4:8" ht="12.75">
      <c r="D387" s="3"/>
      <c r="E387" s="8"/>
      <c r="F387" s="1"/>
      <c r="H387" s="14"/>
    </row>
    <row r="388" spans="4:8" ht="12.75">
      <c r="D388" s="3"/>
      <c r="E388" s="8"/>
      <c r="F388" s="1"/>
      <c r="H388" s="14"/>
    </row>
    <row r="389" spans="4:8" ht="12.75">
      <c r="D389" s="3"/>
      <c r="E389" s="8"/>
      <c r="F389" s="1"/>
      <c r="H389" s="14"/>
    </row>
    <row r="390" spans="4:8" ht="12.75">
      <c r="D390" s="3"/>
      <c r="E390" s="8"/>
      <c r="F390" s="1"/>
      <c r="H390" s="14"/>
    </row>
    <row r="391" spans="4:8" ht="12.75">
      <c r="D391" s="3"/>
      <c r="E391" s="8"/>
      <c r="F391" s="1"/>
      <c r="H391" s="14"/>
    </row>
    <row r="392" spans="4:8" ht="12.75">
      <c r="D392" s="3"/>
      <c r="E392" s="8"/>
      <c r="F392" s="1"/>
      <c r="H392" s="14"/>
    </row>
    <row r="393" spans="4:8" ht="12.75">
      <c r="D393" s="3"/>
      <c r="E393" s="8"/>
      <c r="F393" s="1"/>
      <c r="H393" s="14"/>
    </row>
    <row r="394" spans="4:8" ht="12.75">
      <c r="D394" s="3"/>
      <c r="E394" s="8"/>
      <c r="F394" s="1"/>
      <c r="H394" s="14"/>
    </row>
    <row r="395" spans="4:8" ht="12.75">
      <c r="D395" s="3"/>
      <c r="E395" s="8"/>
      <c r="F395" s="1"/>
      <c r="H395" s="14"/>
    </row>
    <row r="396" spans="4:8" ht="12.75">
      <c r="D396" s="3"/>
      <c r="E396" s="8"/>
      <c r="F396" s="1"/>
      <c r="H396" s="14"/>
    </row>
    <row r="397" spans="4:8" ht="12.75">
      <c r="D397" s="3"/>
      <c r="E397" s="8"/>
      <c r="F397" s="1"/>
      <c r="H397" s="14"/>
    </row>
    <row r="398" spans="4:8" ht="12.75">
      <c r="D398" s="3"/>
      <c r="E398" s="8"/>
      <c r="F398" s="1"/>
      <c r="H398" s="14"/>
    </row>
    <row r="399" spans="4:8" ht="12.75">
      <c r="D399" s="3"/>
      <c r="E399" s="8"/>
      <c r="F399" s="1"/>
      <c r="H399" s="14"/>
    </row>
    <row r="400" spans="4:8" ht="12.75">
      <c r="D400" s="3"/>
      <c r="E400" s="8"/>
      <c r="F400" s="1"/>
      <c r="H400" s="14"/>
    </row>
    <row r="401" spans="4:8" ht="12.75">
      <c r="D401" s="3"/>
      <c r="E401" s="8"/>
      <c r="F401" s="1"/>
      <c r="H401" s="14"/>
    </row>
    <row r="402" spans="4:8" ht="12.75">
      <c r="D402" s="3"/>
      <c r="E402" s="8"/>
      <c r="F402" s="1"/>
      <c r="H402" s="14"/>
    </row>
    <row r="403" spans="4:8" ht="12.75">
      <c r="D403" s="3"/>
      <c r="E403" s="8"/>
      <c r="F403" s="1"/>
      <c r="H403" s="14"/>
    </row>
    <row r="404" spans="4:8" ht="12.75">
      <c r="D404" s="3"/>
      <c r="E404" s="8"/>
      <c r="F404" s="1"/>
      <c r="H404" s="14"/>
    </row>
    <row r="405" spans="4:8" ht="12.75">
      <c r="D405" s="3"/>
      <c r="E405" s="8"/>
      <c r="F405" s="1"/>
      <c r="H405" s="14"/>
    </row>
    <row r="406" spans="4:8" ht="12.75">
      <c r="D406" s="3"/>
      <c r="E406" s="8"/>
      <c r="F406" s="1"/>
      <c r="H406" s="14"/>
    </row>
    <row r="407" spans="4:8" ht="12.75">
      <c r="D407" s="3"/>
      <c r="E407" s="8"/>
      <c r="F407" s="1"/>
      <c r="H407" s="14"/>
    </row>
    <row r="408" spans="4:8" ht="12.75">
      <c r="D408" s="3"/>
      <c r="E408" s="8"/>
      <c r="F408" s="1"/>
      <c r="H408" s="14"/>
    </row>
    <row r="409" spans="4:8" ht="12.75">
      <c r="D409" s="3"/>
      <c r="E409" s="8"/>
      <c r="F409" s="1"/>
      <c r="H409" s="14"/>
    </row>
    <row r="410" spans="4:8" ht="12.75">
      <c r="D410" s="3"/>
      <c r="E410" s="8"/>
      <c r="F410" s="1"/>
      <c r="H410" s="14"/>
    </row>
    <row r="411" spans="4:8" ht="12.75">
      <c r="D411" s="3"/>
      <c r="E411" s="8"/>
      <c r="F411" s="1"/>
      <c r="H411" s="14"/>
    </row>
    <row r="412" spans="4:8" ht="12.75">
      <c r="D412" s="3"/>
      <c r="E412" s="8"/>
      <c r="F412" s="1"/>
      <c r="H412" s="14"/>
    </row>
    <row r="413" spans="4:8" ht="12.75">
      <c r="D413" s="3"/>
      <c r="E413" s="8"/>
      <c r="F413" s="1"/>
      <c r="H413" s="14"/>
    </row>
    <row r="414" spans="4:8" ht="12.75">
      <c r="D414" s="3"/>
      <c r="E414" s="8"/>
      <c r="F414" s="1"/>
      <c r="H414" s="14"/>
    </row>
    <row r="415" spans="4:8" ht="12.75">
      <c r="D415" s="3"/>
      <c r="E415" s="8"/>
      <c r="F415" s="1"/>
      <c r="H415" s="14"/>
    </row>
    <row r="416" spans="4:8" ht="12.75">
      <c r="D416" s="3"/>
      <c r="E416" s="8"/>
      <c r="F416" s="1"/>
      <c r="H416" s="14"/>
    </row>
    <row r="417" spans="4:8" ht="12.75">
      <c r="D417" s="3"/>
      <c r="E417" s="8"/>
      <c r="F417" s="1"/>
      <c r="H417" s="14"/>
    </row>
    <row r="418" spans="4:8" ht="12.75">
      <c r="D418" s="3"/>
      <c r="E418" s="8"/>
      <c r="F418" s="1"/>
      <c r="H418" s="14"/>
    </row>
    <row r="419" spans="4:8" ht="12.75">
      <c r="D419" s="3"/>
      <c r="E419" s="8"/>
      <c r="F419" s="1"/>
      <c r="H419" s="14"/>
    </row>
    <row r="420" spans="4:8" ht="12.75">
      <c r="D420" s="3"/>
      <c r="E420" s="8"/>
      <c r="F420" s="1"/>
      <c r="H420" s="14"/>
    </row>
    <row r="421" spans="4:8" ht="12.75">
      <c r="D421" s="3"/>
      <c r="E421" s="8"/>
      <c r="F421" s="1"/>
      <c r="H421" s="14"/>
    </row>
    <row r="422" spans="4:8" ht="12.75">
      <c r="D422" s="3"/>
      <c r="E422" s="8"/>
      <c r="F422" s="1"/>
      <c r="H422" s="14"/>
    </row>
    <row r="423" spans="4:8" ht="12.75">
      <c r="D423" s="3"/>
      <c r="E423" s="8"/>
      <c r="F423" s="1"/>
      <c r="H423" s="14"/>
    </row>
    <row r="424" spans="4:8" ht="12.75">
      <c r="D424" s="3"/>
      <c r="E424" s="8"/>
      <c r="F424" s="1"/>
      <c r="H424" s="14"/>
    </row>
    <row r="425" spans="4:8" ht="12.75">
      <c r="D425" s="3"/>
      <c r="E425" s="8"/>
      <c r="F425" s="1"/>
      <c r="H425" s="14"/>
    </row>
    <row r="426" spans="4:8" ht="12.75">
      <c r="D426" s="3"/>
      <c r="E426" s="8"/>
      <c r="F426" s="1"/>
      <c r="H426" s="14"/>
    </row>
    <row r="427" spans="4:8" ht="12.75">
      <c r="D427" s="3"/>
      <c r="E427" s="8"/>
      <c r="F427" s="1"/>
      <c r="H427" s="14"/>
    </row>
    <row r="428" spans="4:8" ht="12.75">
      <c r="D428" s="3"/>
      <c r="E428" s="8"/>
      <c r="F428" s="1"/>
      <c r="H428" s="14"/>
    </row>
    <row r="429" spans="4:8" ht="12.75">
      <c r="D429" s="3"/>
      <c r="E429" s="8"/>
      <c r="F429" s="1"/>
      <c r="H429" s="14"/>
    </row>
    <row r="430" spans="4:8" ht="12.75">
      <c r="D430" s="3"/>
      <c r="E430" s="8"/>
      <c r="F430" s="1"/>
      <c r="H430" s="14"/>
    </row>
    <row r="431" spans="4:8" ht="12.75">
      <c r="D431" s="3"/>
      <c r="E431" s="8"/>
      <c r="F431" s="1"/>
      <c r="H431" s="14"/>
    </row>
    <row r="432" spans="4:8" ht="12.75">
      <c r="D432" s="3"/>
      <c r="E432" s="8"/>
      <c r="F432" s="1"/>
      <c r="H432" s="14"/>
    </row>
    <row r="433" spans="4:8" ht="12.75">
      <c r="D433" s="3"/>
      <c r="E433" s="8"/>
      <c r="F433" s="1"/>
      <c r="H433" s="14"/>
    </row>
    <row r="434" spans="4:8" ht="12.75">
      <c r="D434" s="3"/>
      <c r="E434" s="8"/>
      <c r="F434" s="1"/>
      <c r="H434" s="14"/>
    </row>
    <row r="435" spans="4:8" ht="12.75">
      <c r="D435" s="3"/>
      <c r="E435" s="8"/>
      <c r="F435" s="1"/>
      <c r="H435" s="14"/>
    </row>
    <row r="436" spans="4:8" ht="12.75">
      <c r="D436" s="3"/>
      <c r="E436" s="8"/>
      <c r="F436" s="1"/>
      <c r="H436" s="14"/>
    </row>
    <row r="437" spans="4:8" ht="12.75">
      <c r="D437" s="3"/>
      <c r="E437" s="8"/>
      <c r="F437" s="1"/>
      <c r="H437" s="14"/>
    </row>
    <row r="438" spans="4:8" ht="12.75">
      <c r="D438" s="3"/>
      <c r="E438" s="8"/>
      <c r="F438" s="1"/>
      <c r="H438" s="14"/>
    </row>
    <row r="439" spans="4:8" ht="12.75">
      <c r="D439" s="3"/>
      <c r="E439" s="8"/>
      <c r="F439" s="1"/>
      <c r="H439" s="14"/>
    </row>
    <row r="440" spans="4:8" ht="12.75">
      <c r="D440" s="3"/>
      <c r="E440" s="8"/>
      <c r="F440" s="1"/>
      <c r="H440" s="14"/>
    </row>
    <row r="441" spans="4:8" ht="12.75">
      <c r="D441" s="3"/>
      <c r="E441" s="8"/>
      <c r="F441" s="1"/>
      <c r="H441" s="14"/>
    </row>
    <row r="442" spans="4:8" ht="12.75">
      <c r="D442" s="3"/>
      <c r="E442" s="8"/>
      <c r="F442" s="1"/>
      <c r="H442" s="14"/>
    </row>
    <row r="443" spans="4:8" ht="12.75">
      <c r="D443" s="3"/>
      <c r="E443" s="8"/>
      <c r="F443" s="1"/>
      <c r="H443" s="14"/>
    </row>
    <row r="444" spans="4:8" ht="12.75">
      <c r="D444" s="3"/>
      <c r="E444" s="8"/>
      <c r="F444" s="1"/>
      <c r="H444" s="14"/>
    </row>
    <row r="445" spans="4:8" ht="12.75">
      <c r="D445" s="3"/>
      <c r="E445" s="8"/>
      <c r="F445" s="1"/>
      <c r="H445" s="14"/>
    </row>
    <row r="446" spans="4:8" ht="12.75">
      <c r="D446" s="3"/>
      <c r="E446" s="8"/>
      <c r="F446" s="1"/>
      <c r="H446" s="14"/>
    </row>
    <row r="447" spans="4:8" ht="12.75">
      <c r="D447" s="3"/>
      <c r="E447" s="8"/>
      <c r="F447" s="1"/>
      <c r="H447" s="14"/>
    </row>
    <row r="448" spans="4:8" ht="12.75">
      <c r="D448" s="3"/>
      <c r="E448" s="8"/>
      <c r="F448" s="1"/>
      <c r="H448" s="14"/>
    </row>
    <row r="449" spans="4:8" ht="12.75">
      <c r="D449" s="3"/>
      <c r="E449" s="8"/>
      <c r="F449" s="1"/>
      <c r="H449" s="14"/>
    </row>
    <row r="450" spans="4:8" ht="12.75">
      <c r="D450" s="3"/>
      <c r="E450" s="8"/>
      <c r="F450" s="1"/>
      <c r="H450" s="14"/>
    </row>
    <row r="451" spans="4:8" ht="12.75">
      <c r="D451" s="3"/>
      <c r="E451" s="8"/>
      <c r="F451" s="1"/>
      <c r="H451" s="14"/>
    </row>
    <row r="452" spans="4:8" ht="12.75">
      <c r="D452" s="3"/>
      <c r="E452" s="8"/>
      <c r="F452" s="1"/>
      <c r="H452" s="14"/>
    </row>
    <row r="453" spans="4:8" ht="12.75">
      <c r="D453" s="3"/>
      <c r="E453" s="8"/>
      <c r="F453" s="1"/>
      <c r="H453" s="14"/>
    </row>
    <row r="454" spans="4:8" ht="12.75">
      <c r="D454" s="3"/>
      <c r="E454" s="8"/>
      <c r="F454" s="1"/>
      <c r="H454" s="14"/>
    </row>
    <row r="455" spans="4:8" ht="12.75">
      <c r="D455" s="3"/>
      <c r="E455" s="8"/>
      <c r="F455" s="1"/>
      <c r="H455" s="14"/>
    </row>
    <row r="456" spans="4:8" ht="12.75">
      <c r="D456" s="3"/>
      <c r="E456" s="8"/>
      <c r="F456" s="1"/>
      <c r="H456" s="14"/>
    </row>
    <row r="457" spans="4:8" ht="12.75">
      <c r="D457" s="3"/>
      <c r="E457" s="8"/>
      <c r="F457" s="1"/>
      <c r="H457" s="14"/>
    </row>
    <row r="458" spans="4:8" ht="12.75">
      <c r="D458" s="3"/>
      <c r="E458" s="8"/>
      <c r="F458" s="1"/>
      <c r="H458" s="14"/>
    </row>
    <row r="459" spans="4:8" ht="12.75">
      <c r="D459" s="3"/>
      <c r="E459" s="8"/>
      <c r="F459" s="1"/>
      <c r="H459" s="14"/>
    </row>
    <row r="460" spans="4:8" ht="12.75">
      <c r="D460" s="3"/>
      <c r="E460" s="8"/>
      <c r="F460" s="1"/>
      <c r="H460" s="14"/>
    </row>
    <row r="461" spans="4:8" ht="12.75">
      <c r="D461" s="3"/>
      <c r="E461" s="8"/>
      <c r="F461" s="1"/>
      <c r="H461" s="14"/>
    </row>
    <row r="462" spans="4:8" ht="12.75">
      <c r="D462" s="3"/>
      <c r="E462" s="8"/>
      <c r="F462" s="1"/>
      <c r="H462" s="14"/>
    </row>
    <row r="463" spans="4:8" ht="12.75">
      <c r="D463" s="3"/>
      <c r="E463" s="8"/>
      <c r="F463" s="1"/>
      <c r="H463" s="14"/>
    </row>
    <row r="464" spans="4:8" ht="12.75">
      <c r="D464" s="3"/>
      <c r="E464" s="8"/>
      <c r="F464" s="1"/>
      <c r="H464" s="14"/>
    </row>
    <row r="465" spans="4:8" ht="12.75">
      <c r="D465" s="3"/>
      <c r="E465" s="8"/>
      <c r="F465" s="1"/>
      <c r="H465" s="14"/>
    </row>
    <row r="466" spans="4:8" ht="12.75">
      <c r="D466" s="3"/>
      <c r="E466" s="8"/>
      <c r="F466" s="1"/>
      <c r="H466" s="14"/>
    </row>
    <row r="467" spans="4:8" ht="12.75">
      <c r="D467" s="3"/>
      <c r="E467" s="8"/>
      <c r="F467" s="1"/>
      <c r="H467" s="14"/>
    </row>
    <row r="468" spans="4:8" ht="12.75">
      <c r="D468" s="3"/>
      <c r="E468" s="8"/>
      <c r="F468" s="1"/>
      <c r="H468" s="14"/>
    </row>
    <row r="469" spans="4:8" ht="12.75">
      <c r="D469" s="3"/>
      <c r="E469" s="8"/>
      <c r="F469" s="1"/>
      <c r="H469" s="14"/>
    </row>
    <row r="470" spans="4:8" ht="12.75">
      <c r="D470" s="3"/>
      <c r="E470" s="8"/>
      <c r="F470" s="1"/>
      <c r="H470" s="14"/>
    </row>
    <row r="471" spans="4:8" ht="12.75">
      <c r="D471" s="3"/>
      <c r="E471" s="8"/>
      <c r="F471" s="1"/>
      <c r="H471" s="14"/>
    </row>
    <row r="472" spans="4:8" ht="12.75">
      <c r="D472" s="3"/>
      <c r="E472" s="8"/>
      <c r="F472" s="1"/>
      <c r="H472" s="14"/>
    </row>
    <row r="473" spans="4:8" ht="12.75">
      <c r="D473" s="3"/>
      <c r="E473" s="8"/>
      <c r="F473" s="1"/>
      <c r="H473" s="14"/>
    </row>
    <row r="474" spans="4:8" ht="12.75">
      <c r="D474" s="3"/>
      <c r="E474" s="8"/>
      <c r="F474" s="1"/>
      <c r="H474" s="14"/>
    </row>
    <row r="475" spans="4:8" ht="12.75">
      <c r="D475" s="3"/>
      <c r="E475" s="8"/>
      <c r="F475" s="1"/>
      <c r="H475" s="14"/>
    </row>
    <row r="476" spans="4:8" ht="12.75">
      <c r="D476" s="3"/>
      <c r="E476" s="8"/>
      <c r="F476" s="1"/>
      <c r="H476" s="14"/>
    </row>
    <row r="477" spans="4:8" ht="12.75">
      <c r="D477" s="3"/>
      <c r="E477" s="8"/>
      <c r="F477" s="1"/>
      <c r="H477" s="14"/>
    </row>
    <row r="478" spans="4:8" ht="12.75">
      <c r="D478" s="3"/>
      <c r="E478" s="8"/>
      <c r="F478" s="1"/>
      <c r="H478" s="14"/>
    </row>
    <row r="479" spans="4:8" ht="12.75">
      <c r="D479" s="3"/>
      <c r="E479" s="8"/>
      <c r="F479" s="1"/>
      <c r="H479" s="14"/>
    </row>
    <row r="480" spans="4:8" ht="12.75">
      <c r="D480" s="3"/>
      <c r="E480" s="8"/>
      <c r="F480" s="1"/>
      <c r="H480" s="14"/>
    </row>
    <row r="481" spans="4:8" ht="12.75">
      <c r="D481" s="3"/>
      <c r="E481" s="8"/>
      <c r="F481" s="1"/>
      <c r="H481" s="14"/>
    </row>
    <row r="482" spans="4:8" ht="12.75">
      <c r="D482" s="3"/>
      <c r="E482" s="8"/>
      <c r="F482" s="1"/>
      <c r="H482" s="14"/>
    </row>
    <row r="483" spans="4:8" ht="12.75">
      <c r="D483" s="3"/>
      <c r="E483" s="8"/>
      <c r="F483" s="1"/>
      <c r="H483" s="14"/>
    </row>
    <row r="484" spans="4:8" ht="12.75">
      <c r="D484" s="3"/>
      <c r="E484" s="8"/>
      <c r="F484" s="1"/>
      <c r="H484" s="14"/>
    </row>
    <row r="485" spans="4:8" ht="12.75">
      <c r="D485" s="3"/>
      <c r="E485" s="8"/>
      <c r="F485" s="1"/>
      <c r="H485" s="14"/>
    </row>
    <row r="486" spans="4:8" ht="12.75">
      <c r="D486" s="3"/>
      <c r="E486" s="8"/>
      <c r="F486" s="1"/>
      <c r="H486" s="14"/>
    </row>
    <row r="487" spans="4:8" ht="12.75">
      <c r="D487" s="3"/>
      <c r="E487" s="8"/>
      <c r="F487" s="1"/>
      <c r="H487" s="14"/>
    </row>
    <row r="488" spans="4:8" ht="12.75">
      <c r="D488" s="3"/>
      <c r="E488" s="8"/>
      <c r="F488" s="1"/>
      <c r="H488" s="14"/>
    </row>
    <row r="489" spans="4:8" ht="12.75">
      <c r="D489" s="3"/>
      <c r="E489" s="8"/>
      <c r="F489" s="1"/>
      <c r="H489" s="14"/>
    </row>
    <row r="490" spans="4:8" ht="12.75">
      <c r="D490" s="3"/>
      <c r="E490" s="8"/>
      <c r="F490" s="1"/>
      <c r="H490" s="14"/>
    </row>
    <row r="491" spans="4:8" ht="12.75">
      <c r="D491" s="3"/>
      <c r="E491" s="8"/>
      <c r="F491" s="1"/>
      <c r="H491" s="14"/>
    </row>
    <row r="492" spans="4:8" ht="12.75">
      <c r="D492" s="3"/>
      <c r="E492" s="8"/>
      <c r="F492" s="1"/>
      <c r="H492" s="14"/>
    </row>
    <row r="493" spans="4:8" ht="12.75">
      <c r="D493" s="3"/>
      <c r="E493" s="8"/>
      <c r="F493" s="1"/>
      <c r="H493" s="14"/>
    </row>
    <row r="494" spans="4:8" ht="12.75">
      <c r="D494" s="3"/>
      <c r="E494" s="8"/>
      <c r="F494" s="1"/>
      <c r="H494" s="14"/>
    </row>
    <row r="495" spans="4:8" ht="12.75">
      <c r="D495" s="3"/>
      <c r="E495" s="8"/>
      <c r="F495" s="1"/>
      <c r="H495" s="14"/>
    </row>
    <row r="496" spans="4:8" ht="12.75">
      <c r="D496" s="3"/>
      <c r="E496" s="8"/>
      <c r="F496" s="1"/>
      <c r="H496" s="14"/>
    </row>
    <row r="497" spans="4:8" ht="12.75">
      <c r="D497" s="3"/>
      <c r="E497" s="8"/>
      <c r="F497" s="1"/>
      <c r="H497" s="14"/>
    </row>
    <row r="498" spans="4:8" ht="12.75">
      <c r="D498" s="3"/>
      <c r="E498" s="8"/>
      <c r="F498" s="1"/>
      <c r="H498" s="14"/>
    </row>
    <row r="499" spans="4:8" ht="12.75">
      <c r="D499" s="3"/>
      <c r="E499" s="8"/>
      <c r="F499" s="1"/>
      <c r="H499" s="14"/>
    </row>
    <row r="500" spans="4:8" ht="12.75">
      <c r="D500" s="3"/>
      <c r="E500" s="8"/>
      <c r="F500" s="1"/>
      <c r="H500" s="14"/>
    </row>
    <row r="501" spans="4:8" ht="12.75">
      <c r="D501" s="3"/>
      <c r="E501" s="8"/>
      <c r="F501" s="1"/>
      <c r="H501" s="14"/>
    </row>
    <row r="502" spans="4:8" ht="12.75">
      <c r="D502" s="3"/>
      <c r="E502" s="8"/>
      <c r="F502" s="1"/>
      <c r="H502" s="14"/>
    </row>
    <row r="503" spans="4:8" ht="12.75">
      <c r="D503" s="3"/>
      <c r="E503" s="8"/>
      <c r="F503" s="1"/>
      <c r="H503" s="14"/>
    </row>
    <row r="504" spans="4:8" ht="12.75">
      <c r="D504" s="3"/>
      <c r="E504" s="8"/>
      <c r="F504" s="1"/>
      <c r="H504" s="14"/>
    </row>
    <row r="505" spans="4:8" ht="12.75">
      <c r="D505" s="3"/>
      <c r="E505" s="8"/>
      <c r="F505" s="1"/>
      <c r="H505" s="14"/>
    </row>
    <row r="506" spans="4:8" ht="12.75">
      <c r="D506" s="3"/>
      <c r="E506" s="8"/>
      <c r="F506" s="1"/>
      <c r="H506" s="14"/>
    </row>
    <row r="507" spans="4:8" ht="12.75">
      <c r="D507" s="3"/>
      <c r="E507" s="8"/>
      <c r="F507" s="1"/>
      <c r="H507" s="14"/>
    </row>
    <row r="508" spans="4:8" ht="12.75">
      <c r="D508" s="3"/>
      <c r="E508" s="8"/>
      <c r="F508" s="1"/>
      <c r="H508" s="14"/>
    </row>
    <row r="509" spans="4:8" ht="12.75">
      <c r="D509" s="3"/>
      <c r="E509" s="8"/>
      <c r="F509" s="1"/>
      <c r="H509" s="14"/>
    </row>
    <row r="510" spans="4:8" ht="12.75">
      <c r="D510" s="3"/>
      <c r="E510" s="8"/>
      <c r="F510" s="1"/>
      <c r="H510" s="14"/>
    </row>
    <row r="511" spans="4:8" ht="12.75">
      <c r="D511" s="3"/>
      <c r="E511" s="8"/>
      <c r="F511" s="1"/>
      <c r="H511" s="14"/>
    </row>
    <row r="512" spans="4:8" ht="12.75">
      <c r="D512" s="3"/>
      <c r="E512" s="8"/>
      <c r="F512" s="1"/>
      <c r="H512" s="14"/>
    </row>
    <row r="513" spans="4:8" ht="12.75">
      <c r="D513" s="3"/>
      <c r="E513" s="8"/>
      <c r="F513" s="1"/>
      <c r="H513" s="14"/>
    </row>
    <row r="514" spans="4:8" ht="12.75">
      <c r="D514" s="3"/>
      <c r="E514" s="8"/>
      <c r="F514" s="1"/>
      <c r="H514" s="14"/>
    </row>
    <row r="515" spans="4:8" ht="12.75">
      <c r="D515" s="3"/>
      <c r="E515" s="8"/>
      <c r="F515" s="1"/>
      <c r="H515" s="14"/>
    </row>
    <row r="516" spans="4:8" ht="12.75">
      <c r="D516" s="3"/>
      <c r="E516" s="8"/>
      <c r="F516" s="1"/>
      <c r="H516" s="14"/>
    </row>
    <row r="517" spans="4:8" ht="12.75">
      <c r="D517" s="3"/>
      <c r="E517" s="8"/>
      <c r="F517" s="1"/>
      <c r="H517" s="14"/>
    </row>
    <row r="518" spans="4:8" ht="12.75">
      <c r="D518" s="3"/>
      <c r="E518" s="8"/>
      <c r="F518" s="1"/>
      <c r="H518" s="14"/>
    </row>
    <row r="519" spans="4:8" ht="12.75">
      <c r="D519" s="3"/>
      <c r="E519" s="8"/>
      <c r="F519" s="1"/>
      <c r="H519" s="14"/>
    </row>
    <row r="520" spans="4:8" ht="12.75">
      <c r="D520" s="3"/>
      <c r="E520" s="8"/>
      <c r="F520" s="1"/>
      <c r="H520" s="14"/>
    </row>
    <row r="521" spans="4:8" ht="12.75">
      <c r="D521" s="3"/>
      <c r="E521" s="8"/>
      <c r="F521" s="1"/>
      <c r="H521" s="14"/>
    </row>
    <row r="522" spans="4:8" ht="12.75">
      <c r="D522" s="3"/>
      <c r="E522" s="8"/>
      <c r="F522" s="1"/>
      <c r="H522" s="14"/>
    </row>
    <row r="523" spans="4:8" ht="12.75">
      <c r="D523" s="3"/>
      <c r="E523" s="8"/>
      <c r="F523" s="1"/>
      <c r="H523" s="14"/>
    </row>
    <row r="524" spans="4:8" ht="12.75">
      <c r="D524" s="3"/>
      <c r="E524" s="8"/>
      <c r="F524" s="1"/>
      <c r="H524" s="14"/>
    </row>
    <row r="525" spans="4:8" ht="12.75">
      <c r="D525" s="3"/>
      <c r="E525" s="8"/>
      <c r="F525" s="1"/>
      <c r="H525" s="14"/>
    </row>
    <row r="526" spans="4:8" ht="12.75">
      <c r="D526" s="3"/>
      <c r="E526" s="8"/>
      <c r="F526" s="1"/>
      <c r="H526" s="14"/>
    </row>
    <row r="527" spans="4:8" ht="12.75">
      <c r="D527" s="3"/>
      <c r="E527" s="8"/>
      <c r="F527" s="1"/>
      <c r="H527" s="14"/>
    </row>
    <row r="528" spans="4:8" ht="12.75">
      <c r="D528" s="3"/>
      <c r="E528" s="8"/>
      <c r="F528" s="1"/>
      <c r="H528" s="14"/>
    </row>
    <row r="529" spans="4:8" ht="12.75">
      <c r="D529" s="3"/>
      <c r="E529" s="8"/>
      <c r="F529" s="1"/>
      <c r="H529" s="14"/>
    </row>
    <row r="530" spans="4:8" ht="12.75">
      <c r="D530" s="3"/>
      <c r="E530" s="8"/>
      <c r="F530" s="1"/>
      <c r="H530" s="14"/>
    </row>
    <row r="531" spans="4:8" ht="12.75">
      <c r="D531" s="3"/>
      <c r="E531" s="8"/>
      <c r="F531" s="1"/>
      <c r="H531" s="14"/>
    </row>
    <row r="532" spans="4:8" ht="12.75">
      <c r="D532" s="3"/>
      <c r="E532" s="8"/>
      <c r="F532" s="1"/>
      <c r="H532" s="14"/>
    </row>
    <row r="533" spans="4:8" ht="12.75">
      <c r="D533" s="3"/>
      <c r="E533" s="8"/>
      <c r="F533" s="1"/>
      <c r="H533" s="14"/>
    </row>
    <row r="534" spans="4:8" ht="12.75">
      <c r="D534" s="3"/>
      <c r="E534" s="8"/>
      <c r="F534" s="1"/>
      <c r="H534" s="14"/>
    </row>
    <row r="535" spans="4:8" ht="12.75">
      <c r="D535" s="3"/>
      <c r="E535" s="8"/>
      <c r="F535" s="1"/>
      <c r="H535" s="14"/>
    </row>
    <row r="536" spans="4:8" ht="12.75">
      <c r="D536" s="3"/>
      <c r="E536" s="8"/>
      <c r="F536" s="1"/>
      <c r="H536" s="14"/>
    </row>
    <row r="537" spans="4:8" ht="12.75">
      <c r="D537" s="3"/>
      <c r="E537" s="8"/>
      <c r="F537" s="1"/>
      <c r="H537" s="14"/>
    </row>
    <row r="538" spans="4:8" ht="12.75">
      <c r="D538" s="3"/>
      <c r="E538" s="8"/>
      <c r="F538" s="1"/>
      <c r="H538" s="14"/>
    </row>
    <row r="539" spans="4:8" ht="12.75">
      <c r="D539" s="3"/>
      <c r="E539" s="8"/>
      <c r="F539" s="1"/>
      <c r="H539" s="14"/>
    </row>
    <row r="540" spans="4:8" ht="12.75">
      <c r="D540" s="3"/>
      <c r="E540" s="8"/>
      <c r="F540" s="1"/>
      <c r="H540" s="14"/>
    </row>
    <row r="541" spans="4:8" ht="12.75">
      <c r="D541" s="3"/>
      <c r="E541" s="8"/>
      <c r="F541" s="1"/>
      <c r="H541" s="14"/>
    </row>
    <row r="542" spans="4:8" ht="12.75">
      <c r="D542" s="3"/>
      <c r="E542" s="8"/>
      <c r="F542" s="1"/>
      <c r="H542" s="14"/>
    </row>
    <row r="543" spans="4:8" ht="12.75">
      <c r="D543" s="3"/>
      <c r="E543" s="8"/>
      <c r="F543" s="1"/>
      <c r="H543" s="14"/>
    </row>
    <row r="544" spans="4:8" ht="12.75">
      <c r="D544" s="3"/>
      <c r="E544" s="8"/>
      <c r="F544" s="1"/>
      <c r="H544" s="14"/>
    </row>
    <row r="545" spans="4:8" ht="12.75">
      <c r="D545" s="3"/>
      <c r="E545" s="8"/>
      <c r="F545" s="1"/>
      <c r="H545" s="14"/>
    </row>
    <row r="546" spans="4:8" ht="12.75">
      <c r="D546" s="3"/>
      <c r="E546" s="8"/>
      <c r="F546" s="1"/>
      <c r="H546" s="14"/>
    </row>
    <row r="547" spans="4:8" ht="12.75">
      <c r="D547" s="3"/>
      <c r="E547" s="8"/>
      <c r="F547" s="1"/>
      <c r="H547" s="14"/>
    </row>
    <row r="548" spans="4:8" ht="12.75">
      <c r="D548" s="3"/>
      <c r="E548" s="8"/>
      <c r="F548" s="1"/>
      <c r="H548" s="14"/>
    </row>
    <row r="549" spans="4:8" ht="12.75">
      <c r="D549" s="3"/>
      <c r="E549" s="8"/>
      <c r="F549" s="1"/>
      <c r="H549" s="14"/>
    </row>
    <row r="550" spans="4:8" ht="12.75">
      <c r="D550" s="3"/>
      <c r="E550" s="8"/>
      <c r="F550" s="1"/>
      <c r="H550" s="14"/>
    </row>
    <row r="551" spans="4:8" ht="12.75">
      <c r="D551" s="3"/>
      <c r="E551" s="8"/>
      <c r="F551" s="1"/>
      <c r="H551" s="14"/>
    </row>
    <row r="552" spans="4:8" ht="12.75">
      <c r="D552" s="3"/>
      <c r="E552" s="8"/>
      <c r="F552" s="1"/>
      <c r="H552" s="14"/>
    </row>
    <row r="553" spans="4:8" ht="12.75">
      <c r="D553" s="3"/>
      <c r="E553" s="8"/>
      <c r="F553" s="1"/>
      <c r="H553" s="14"/>
    </row>
    <row r="554" spans="4:8" ht="12.75">
      <c r="D554" s="3"/>
      <c r="E554" s="8"/>
      <c r="F554" s="1"/>
      <c r="H554" s="14"/>
    </row>
    <row r="555" spans="4:8" ht="12.75">
      <c r="D555" s="3"/>
      <c r="E555" s="8"/>
      <c r="F555" s="1"/>
      <c r="H555" s="14"/>
    </row>
    <row r="556" spans="4:8" ht="12.75">
      <c r="D556" s="3"/>
      <c r="E556" s="8"/>
      <c r="F556" s="1"/>
      <c r="H556" s="14"/>
    </row>
    <row r="557" spans="4:8" ht="12.75">
      <c r="D557" s="3"/>
      <c r="E557" s="8"/>
      <c r="F557" s="1"/>
      <c r="H557" s="14"/>
    </row>
    <row r="558" spans="4:8" ht="12.75">
      <c r="D558" s="3"/>
      <c r="E558" s="8"/>
      <c r="F558" s="1"/>
      <c r="H558" s="14"/>
    </row>
    <row r="559" spans="4:8" ht="12.75">
      <c r="D559" s="3"/>
      <c r="E559" s="8"/>
      <c r="F559" s="1"/>
      <c r="H559" s="14"/>
    </row>
    <row r="560" spans="4:8" ht="12.75">
      <c r="D560" s="3"/>
      <c r="E560" s="8"/>
      <c r="F560" s="1"/>
      <c r="H560" s="14"/>
    </row>
    <row r="561" spans="4:8" ht="12.75">
      <c r="D561" s="3"/>
      <c r="E561" s="8"/>
      <c r="F561" s="1"/>
      <c r="H561" s="14"/>
    </row>
    <row r="562" spans="4:8" ht="12.75">
      <c r="D562" s="3"/>
      <c r="E562" s="8"/>
      <c r="F562" s="1"/>
      <c r="H562" s="14"/>
    </row>
    <row r="563" spans="4:8" ht="12.75">
      <c r="D563" s="3"/>
      <c r="E563" s="8"/>
      <c r="F563" s="1"/>
      <c r="H563" s="14"/>
    </row>
    <row r="564" spans="4:8" ht="12.75">
      <c r="D564" s="3"/>
      <c r="E564" s="8"/>
      <c r="F564" s="1"/>
      <c r="H564" s="14"/>
    </row>
    <row r="565" spans="4:8" ht="12.75">
      <c r="D565" s="3"/>
      <c r="E565" s="8"/>
      <c r="F565" s="1"/>
      <c r="H565" s="14"/>
    </row>
    <row r="566" spans="4:8" ht="12.75">
      <c r="D566" s="3"/>
      <c r="E566" s="8"/>
      <c r="F566" s="1"/>
      <c r="H566" s="14"/>
    </row>
    <row r="567" spans="4:8" ht="12.75">
      <c r="D567" s="3"/>
      <c r="E567" s="8"/>
      <c r="F567" s="1"/>
      <c r="H567" s="14"/>
    </row>
    <row r="568" spans="4:8" ht="12.75">
      <c r="D568" s="3"/>
      <c r="E568" s="8"/>
      <c r="F568" s="1"/>
      <c r="H568" s="14"/>
    </row>
    <row r="569" spans="4:8" ht="12.75">
      <c r="D569" s="3"/>
      <c r="E569" s="8"/>
      <c r="F569" s="1"/>
      <c r="H569" s="14"/>
    </row>
    <row r="570" spans="4:8" ht="12.75">
      <c r="D570" s="3"/>
      <c r="E570" s="8"/>
      <c r="F570" s="1"/>
      <c r="H570" s="14"/>
    </row>
    <row r="571" spans="4:8" ht="12.75">
      <c r="D571" s="3"/>
      <c r="E571" s="8"/>
      <c r="F571" s="1"/>
      <c r="H571" s="14"/>
    </row>
    <row r="572" spans="4:8" ht="12.75">
      <c r="D572" s="3"/>
      <c r="E572" s="8"/>
      <c r="F572" s="1"/>
      <c r="H572" s="14"/>
    </row>
    <row r="573" spans="4:8" ht="12.75">
      <c r="D573" s="3"/>
      <c r="E573" s="8"/>
      <c r="F573" s="1"/>
      <c r="H573" s="14"/>
    </row>
    <row r="574" spans="4:8" ht="12.75">
      <c r="D574" s="3"/>
      <c r="E574" s="8"/>
      <c r="F574" s="1"/>
      <c r="H574" s="14"/>
    </row>
    <row r="575" spans="4:8" ht="12.75">
      <c r="D575" s="3"/>
      <c r="E575" s="8"/>
      <c r="F575" s="1"/>
      <c r="H575" s="14"/>
    </row>
    <row r="576" spans="4:8" ht="12.75">
      <c r="D576" s="3"/>
      <c r="E576" s="8"/>
      <c r="F576" s="1"/>
      <c r="H576" s="14"/>
    </row>
    <row r="577" spans="4:8" ht="12.75">
      <c r="D577" s="3"/>
      <c r="E577" s="8"/>
      <c r="F577" s="1"/>
      <c r="H577" s="14"/>
    </row>
    <row r="578" spans="4:8" ht="12.75">
      <c r="D578" s="3"/>
      <c r="E578" s="8"/>
      <c r="F578" s="1"/>
      <c r="H578" s="14"/>
    </row>
    <row r="579" spans="4:8" ht="12.75">
      <c r="D579" s="3"/>
      <c r="E579" s="8"/>
      <c r="F579" s="1"/>
      <c r="H579" s="14"/>
    </row>
    <row r="580" spans="4:8" ht="12.75">
      <c r="D580" s="3"/>
      <c r="E580" s="8"/>
      <c r="F580" s="1"/>
      <c r="H580" s="14"/>
    </row>
    <row r="581" spans="4:8" ht="12.75">
      <c r="D581" s="3"/>
      <c r="E581" s="8"/>
      <c r="F581" s="1"/>
      <c r="H581" s="14"/>
    </row>
    <row r="582" spans="4:8" ht="12.75">
      <c r="D582" s="3"/>
      <c r="E582" s="8"/>
      <c r="F582" s="1"/>
      <c r="H582" s="14"/>
    </row>
    <row r="583" spans="4:8" ht="12.75">
      <c r="D583" s="3"/>
      <c r="E583" s="8"/>
      <c r="F583" s="1"/>
      <c r="H583" s="14"/>
    </row>
    <row r="584" spans="4:8" ht="12.75">
      <c r="D584" s="3"/>
      <c r="E584" s="8"/>
      <c r="F584" s="1"/>
      <c r="H584" s="14"/>
    </row>
    <row r="585" spans="4:8" ht="12.75">
      <c r="D585" s="3"/>
      <c r="E585" s="8"/>
      <c r="F585" s="1"/>
      <c r="H585" s="14"/>
    </row>
    <row r="586" spans="4:8" ht="12.75">
      <c r="D586" s="3"/>
      <c r="E586" s="8"/>
      <c r="F586" s="1"/>
      <c r="H586" s="14"/>
    </row>
    <row r="587" spans="4:8" ht="12.75">
      <c r="D587" s="3"/>
      <c r="E587" s="8"/>
      <c r="F587" s="1"/>
      <c r="H587" s="14"/>
    </row>
    <row r="588" spans="4:8" ht="12.75">
      <c r="D588" s="3"/>
      <c r="E588" s="8"/>
      <c r="F588" s="1"/>
      <c r="H588" s="14"/>
    </row>
    <row r="589" spans="4:8" ht="12.75">
      <c r="D589" s="3"/>
      <c r="E589" s="8"/>
      <c r="F589" s="1"/>
      <c r="H589" s="14"/>
    </row>
    <row r="590" spans="4:8" ht="12.75">
      <c r="D590" s="3"/>
      <c r="E590" s="8"/>
      <c r="F590" s="1"/>
      <c r="H590" s="14"/>
    </row>
    <row r="591" spans="4:8" ht="12.75">
      <c r="D591" s="3"/>
      <c r="E591" s="8"/>
      <c r="F591" s="1"/>
      <c r="H591" s="13"/>
    </row>
    <row r="592" spans="4:8" ht="12.75">
      <c r="D592" s="3"/>
      <c r="E592" s="8"/>
      <c r="F592" s="1"/>
      <c r="H592" s="13"/>
    </row>
    <row r="593" spans="4:8" ht="12.75">
      <c r="D593" s="3"/>
      <c r="E593" s="8"/>
      <c r="F593" s="1"/>
      <c r="H593" s="13"/>
    </row>
    <row r="594" spans="4:8" ht="12.75">
      <c r="D594" s="3"/>
      <c r="E594" s="8"/>
      <c r="F594" s="1"/>
      <c r="H594" s="13"/>
    </row>
    <row r="595" spans="4:8" ht="12.75">
      <c r="D595" s="3"/>
      <c r="E595" s="8"/>
      <c r="F595" s="1"/>
      <c r="H595" s="13"/>
    </row>
    <row r="596" spans="4:8" ht="12.75">
      <c r="D596" s="3"/>
      <c r="E596" s="8"/>
      <c r="F596" s="1"/>
      <c r="H596" s="13"/>
    </row>
    <row r="597" spans="4:8" ht="12.75">
      <c r="D597" s="3"/>
      <c r="E597" s="8"/>
      <c r="F597" s="1"/>
      <c r="H597" s="13"/>
    </row>
    <row r="598" spans="4:8" ht="12.75">
      <c r="D598" s="3"/>
      <c r="E598" s="8"/>
      <c r="F598" s="1"/>
      <c r="H598" s="13"/>
    </row>
    <row r="599" spans="4:8" ht="12.75">
      <c r="D599" s="3"/>
      <c r="E599" s="8"/>
      <c r="F599" s="1"/>
      <c r="H599" s="13"/>
    </row>
    <row r="600" spans="4:8" ht="12.75">
      <c r="D600" s="3"/>
      <c r="E600" s="8"/>
      <c r="F600" s="1"/>
      <c r="H600" s="13"/>
    </row>
    <row r="601" spans="4:8" ht="12.75">
      <c r="D601" s="3"/>
      <c r="E601" s="8"/>
      <c r="F601" s="1"/>
      <c r="H601" s="13"/>
    </row>
    <row r="602" spans="4:8" ht="12.75">
      <c r="D602" s="3"/>
      <c r="E602" s="8"/>
      <c r="F602" s="1"/>
      <c r="H602" s="13"/>
    </row>
    <row r="603" spans="4:8" ht="12.75">
      <c r="D603" s="3"/>
      <c r="E603" s="8"/>
      <c r="F603" s="1"/>
      <c r="H603" s="13"/>
    </row>
    <row r="604" spans="4:8" ht="12.75">
      <c r="D604" s="3"/>
      <c r="E604" s="8"/>
      <c r="F604" s="1"/>
      <c r="H604" s="13"/>
    </row>
    <row r="605" spans="4:8" ht="12.75">
      <c r="D605" s="3"/>
      <c r="E605" s="8"/>
      <c r="F605" s="1"/>
      <c r="H605" s="13"/>
    </row>
    <row r="606" spans="4:8" ht="12.75">
      <c r="D606" s="3"/>
      <c r="E606" s="8"/>
      <c r="F606" s="1"/>
      <c r="H606" s="13"/>
    </row>
    <row r="607" spans="4:8" ht="12.75">
      <c r="D607" s="3"/>
      <c r="E607" s="8"/>
      <c r="F607" s="1"/>
      <c r="H607" s="13"/>
    </row>
    <row r="608" spans="4:8" ht="12.75">
      <c r="D608" s="3"/>
      <c r="E608" s="8"/>
      <c r="F608" s="1"/>
      <c r="H608" s="13"/>
    </row>
    <row r="609" spans="4:8" ht="12.75">
      <c r="D609" s="3"/>
      <c r="E609" s="8"/>
      <c r="F609" s="1"/>
      <c r="H609" s="13"/>
    </row>
    <row r="610" spans="4:8" ht="12.75">
      <c r="D610" s="3"/>
      <c r="E610" s="8"/>
      <c r="F610" s="1"/>
      <c r="H610" s="13"/>
    </row>
    <row r="611" spans="4:8" ht="12.75">
      <c r="D611" s="3"/>
      <c r="E611" s="8"/>
      <c r="F611" s="1"/>
      <c r="H611" s="13"/>
    </row>
    <row r="612" spans="4:8" ht="12.75">
      <c r="D612" s="3"/>
      <c r="E612" s="8"/>
      <c r="F612" s="1"/>
      <c r="H612" s="13"/>
    </row>
    <row r="613" spans="4:8" ht="12.75">
      <c r="D613" s="3"/>
      <c r="E613" s="8"/>
      <c r="F613" s="1"/>
      <c r="H613" s="13"/>
    </row>
    <row r="614" spans="4:8" ht="12.75">
      <c r="D614" s="3"/>
      <c r="E614" s="8"/>
      <c r="F614" s="1"/>
      <c r="H614" s="13"/>
    </row>
    <row r="615" spans="4:8" ht="12.75">
      <c r="D615" s="3"/>
      <c r="E615" s="8"/>
      <c r="F615" s="1"/>
      <c r="H615" s="13"/>
    </row>
    <row r="616" spans="4:8" ht="12.75">
      <c r="D616" s="3"/>
      <c r="E616" s="8"/>
      <c r="F616" s="1"/>
      <c r="H616" s="13"/>
    </row>
    <row r="617" spans="4:8" ht="12.75">
      <c r="D617" s="3"/>
      <c r="E617" s="8"/>
      <c r="F617" s="1"/>
      <c r="H617" s="13"/>
    </row>
    <row r="618" spans="4:8" ht="12.75">
      <c r="D618" s="3"/>
      <c r="E618" s="8"/>
      <c r="F618" s="1"/>
      <c r="H618" s="13"/>
    </row>
    <row r="619" spans="4:8" ht="12.75">
      <c r="D619" s="3"/>
      <c r="E619" s="8"/>
      <c r="F619" s="1"/>
      <c r="H619" s="13"/>
    </row>
    <row r="620" spans="4:8" ht="12.75">
      <c r="D620" s="3"/>
      <c r="E620" s="8"/>
      <c r="F620" s="1"/>
      <c r="H620" s="13"/>
    </row>
    <row r="621" spans="4:8" ht="12.75">
      <c r="D621" s="3"/>
      <c r="E621" s="8"/>
      <c r="F621" s="1"/>
      <c r="H621" s="13"/>
    </row>
    <row r="622" spans="4:8" ht="12.75">
      <c r="D622" s="3"/>
      <c r="E622" s="8"/>
      <c r="F622" s="1"/>
      <c r="H622" s="13"/>
    </row>
    <row r="623" spans="4:8" ht="12.75">
      <c r="D623" s="3"/>
      <c r="E623" s="8"/>
      <c r="F623" s="1"/>
      <c r="H623" s="13"/>
    </row>
    <row r="624" spans="4:8" ht="12.75">
      <c r="D624" s="3"/>
      <c r="E624" s="8"/>
      <c r="F624" s="1"/>
      <c r="H624" s="13"/>
    </row>
    <row r="625" spans="4:8" ht="12.75">
      <c r="D625" s="3"/>
      <c r="E625" s="8"/>
      <c r="F625" s="1"/>
      <c r="H625" s="13"/>
    </row>
    <row r="626" spans="4:8" ht="12.75">
      <c r="D626" s="3"/>
      <c r="E626" s="8"/>
      <c r="F626" s="1"/>
      <c r="H626" s="13"/>
    </row>
    <row r="627" spans="4:8" ht="12.75">
      <c r="D627" s="3"/>
      <c r="E627" s="8"/>
      <c r="F627" s="1"/>
      <c r="H627" s="13"/>
    </row>
    <row r="628" spans="4:8" ht="12.75">
      <c r="D628" s="3"/>
      <c r="E628" s="8"/>
      <c r="F628" s="1"/>
      <c r="H628" s="13"/>
    </row>
    <row r="629" spans="4:8" ht="12.75">
      <c r="D629" s="3"/>
      <c r="E629" s="8"/>
      <c r="F629" s="1"/>
      <c r="H629" s="13"/>
    </row>
    <row r="630" spans="4:8" ht="12.75">
      <c r="D630" s="3"/>
      <c r="E630" s="8"/>
      <c r="F630" s="1"/>
      <c r="H630" s="13"/>
    </row>
    <row r="631" spans="4:8" ht="12.75">
      <c r="D631" s="3"/>
      <c r="E631" s="8"/>
      <c r="F631" s="1"/>
      <c r="H631" s="13"/>
    </row>
    <row r="632" spans="4:8" ht="12.75">
      <c r="D632" s="3"/>
      <c r="E632" s="8"/>
      <c r="F632" s="1"/>
      <c r="H632" s="13"/>
    </row>
    <row r="633" spans="4:8" ht="12.75">
      <c r="D633" s="3"/>
      <c r="E633" s="8"/>
      <c r="F633" s="1"/>
      <c r="H633" s="13"/>
    </row>
    <row r="634" spans="4:8" ht="12.75">
      <c r="D634" s="3"/>
      <c r="E634" s="8"/>
      <c r="F634" s="1"/>
      <c r="H634" s="13"/>
    </row>
    <row r="635" spans="4:8" ht="12.75">
      <c r="D635" s="3"/>
      <c r="E635" s="8"/>
      <c r="F635" s="1"/>
      <c r="H635" s="13"/>
    </row>
    <row r="636" spans="4:8" ht="12.75">
      <c r="D636" s="3"/>
      <c r="E636" s="8"/>
      <c r="F636" s="1"/>
      <c r="H636" s="13"/>
    </row>
    <row r="637" spans="4:8" ht="12.75">
      <c r="D637" s="3"/>
      <c r="E637" s="8"/>
      <c r="F637" s="1"/>
      <c r="H637" s="13"/>
    </row>
    <row r="638" spans="4:8" ht="12.75">
      <c r="D638" s="3"/>
      <c r="E638" s="8"/>
      <c r="F638" s="1"/>
      <c r="H638" s="13"/>
    </row>
    <row r="639" spans="4:8" ht="12.75">
      <c r="D639" s="3"/>
      <c r="E639" s="8"/>
      <c r="F639" s="1"/>
      <c r="H639" s="13"/>
    </row>
    <row r="640" spans="4:8" ht="12.75">
      <c r="D640" s="3"/>
      <c r="E640" s="8"/>
      <c r="F640" s="1"/>
      <c r="H640" s="13"/>
    </row>
    <row r="641" spans="4:8" ht="12.75">
      <c r="D641" s="3"/>
      <c r="E641" s="8"/>
      <c r="F641" s="1"/>
      <c r="H641" s="13"/>
    </row>
    <row r="642" spans="4:8" ht="12.75">
      <c r="D642" s="3"/>
      <c r="E642" s="8"/>
      <c r="F642" s="1"/>
      <c r="H642" s="13"/>
    </row>
    <row r="643" spans="4:8" ht="12.75">
      <c r="D643" s="3"/>
      <c r="E643" s="8"/>
      <c r="F643" s="1"/>
      <c r="H643" s="13"/>
    </row>
    <row r="644" spans="4:8" ht="12.75">
      <c r="D644" s="3"/>
      <c r="E644" s="8"/>
      <c r="F644" s="1"/>
      <c r="H644" s="13"/>
    </row>
    <row r="645" spans="4:8" ht="12.75">
      <c r="D645" s="3"/>
      <c r="E645" s="8"/>
      <c r="F645" s="1"/>
      <c r="H645" s="13"/>
    </row>
    <row r="646" spans="4:8" ht="12.75">
      <c r="D646" s="3"/>
      <c r="E646" s="8"/>
      <c r="F646" s="1"/>
      <c r="H646" s="13"/>
    </row>
    <row r="647" spans="4:8" ht="12.75">
      <c r="D647" s="3"/>
      <c r="E647" s="8"/>
      <c r="F647" s="1"/>
      <c r="H647" s="13"/>
    </row>
    <row r="648" spans="4:8" ht="12.75">
      <c r="D648" s="3"/>
      <c r="E648" s="8"/>
      <c r="F648" s="1"/>
      <c r="H648" s="13"/>
    </row>
    <row r="649" spans="4:8" ht="12.75">
      <c r="D649" s="3"/>
      <c r="E649" s="8"/>
      <c r="F649" s="1"/>
      <c r="H649" s="13"/>
    </row>
    <row r="650" spans="4:8" ht="12.75">
      <c r="D650" s="3"/>
      <c r="E650" s="8"/>
      <c r="F650" s="1"/>
      <c r="H650" s="13"/>
    </row>
    <row r="651" spans="4:8" ht="12.75">
      <c r="D651" s="3"/>
      <c r="E651" s="8"/>
      <c r="F651" s="1"/>
      <c r="H651" s="13"/>
    </row>
    <row r="652" spans="4:8" ht="12.75">
      <c r="D652" s="3"/>
      <c r="E652" s="8"/>
      <c r="F652" s="1"/>
      <c r="H652" s="13"/>
    </row>
    <row r="653" spans="4:8" ht="12.75">
      <c r="D653" s="3"/>
      <c r="E653" s="8"/>
      <c r="F653" s="1"/>
      <c r="H653" s="13"/>
    </row>
    <row r="654" spans="4:8" ht="12.75">
      <c r="D654" s="3"/>
      <c r="E654" s="8"/>
      <c r="F654" s="1"/>
      <c r="H654" s="13"/>
    </row>
    <row r="655" spans="4:8" ht="12.75">
      <c r="D655" s="3"/>
      <c r="E655" s="8"/>
      <c r="F655" s="1"/>
      <c r="H655" s="13"/>
    </row>
    <row r="656" spans="4:8" ht="12.75">
      <c r="D656" s="3"/>
      <c r="E656" s="8"/>
      <c r="F656" s="1"/>
      <c r="H656" s="13"/>
    </row>
    <row r="657" spans="4:8" ht="12.75">
      <c r="D657" s="3"/>
      <c r="E657" s="8"/>
      <c r="F657" s="1"/>
      <c r="H657" s="13"/>
    </row>
    <row r="658" spans="4:8" ht="12.75">
      <c r="D658" s="3"/>
      <c r="E658" s="8"/>
      <c r="F658" s="1"/>
      <c r="H658" s="13"/>
    </row>
    <row r="659" spans="4:8" ht="12.75">
      <c r="D659" s="3"/>
      <c r="E659" s="8"/>
      <c r="F659" s="1"/>
      <c r="H659" s="13"/>
    </row>
    <row r="660" spans="4:8" ht="12.75">
      <c r="D660" s="3"/>
      <c r="E660" s="8"/>
      <c r="F660" s="1"/>
      <c r="H660" s="13"/>
    </row>
    <row r="661" spans="4:8" ht="12.75">
      <c r="D661" s="3"/>
      <c r="E661" s="8"/>
      <c r="F661" s="1"/>
      <c r="H661" s="13"/>
    </row>
    <row r="662" spans="4:8" ht="12.75">
      <c r="D662" s="3"/>
      <c r="E662" s="8"/>
      <c r="F662" s="1"/>
      <c r="H662" s="13"/>
    </row>
    <row r="663" spans="4:8" ht="12.75">
      <c r="D663" s="3"/>
      <c r="E663" s="8"/>
      <c r="F663" s="1"/>
      <c r="H663" s="13"/>
    </row>
    <row r="664" spans="4:8" ht="12.75">
      <c r="D664" s="3"/>
      <c r="E664" s="8"/>
      <c r="F664" s="1"/>
      <c r="H664" s="13"/>
    </row>
    <row r="665" spans="4:8" ht="12.75">
      <c r="D665" s="3"/>
      <c r="E665" s="8"/>
      <c r="F665" s="1"/>
      <c r="H665" s="13"/>
    </row>
    <row r="666" spans="4:8" ht="12.75">
      <c r="D666" s="3"/>
      <c r="E666" s="8"/>
      <c r="F666" s="1"/>
      <c r="H666" s="13"/>
    </row>
    <row r="667" spans="4:8" ht="12.75">
      <c r="D667" s="3"/>
      <c r="E667" s="8"/>
      <c r="F667" s="1"/>
      <c r="H667" s="13"/>
    </row>
    <row r="668" spans="4:8" ht="12.75">
      <c r="D668" s="3"/>
      <c r="E668" s="8"/>
      <c r="F668" s="1"/>
      <c r="H668" s="13"/>
    </row>
    <row r="669" spans="4:8" ht="12.75">
      <c r="D669" s="3"/>
      <c r="E669" s="8"/>
      <c r="F669" s="1"/>
      <c r="H669" s="13"/>
    </row>
    <row r="670" spans="4:8" ht="12.75">
      <c r="D670" s="3"/>
      <c r="E670" s="8"/>
      <c r="F670" s="1"/>
      <c r="H670" s="13"/>
    </row>
    <row r="671" spans="4:8" ht="12.75">
      <c r="D671" s="3"/>
      <c r="E671" s="8"/>
      <c r="F671" s="1"/>
      <c r="H671" s="13"/>
    </row>
    <row r="672" spans="4:8" ht="12.75">
      <c r="D672" s="3"/>
      <c r="E672" s="8"/>
      <c r="F672" s="1"/>
      <c r="H672" s="13"/>
    </row>
    <row r="673" spans="4:8" ht="12.75">
      <c r="D673" s="3"/>
      <c r="E673" s="8"/>
      <c r="F673" s="1"/>
      <c r="H673" s="13"/>
    </row>
    <row r="674" spans="4:8" ht="12.75">
      <c r="D674" s="3"/>
      <c r="E674" s="8"/>
      <c r="F674" s="1"/>
      <c r="H674" s="13"/>
    </row>
    <row r="675" spans="4:8" ht="12.75">
      <c r="D675" s="3"/>
      <c r="E675" s="8"/>
      <c r="F675" s="1"/>
      <c r="H675" s="13"/>
    </row>
    <row r="676" spans="4:8" ht="12.75">
      <c r="D676" s="3"/>
      <c r="E676" s="8"/>
      <c r="F676" s="1"/>
      <c r="H676" s="13"/>
    </row>
    <row r="677" spans="4:8" ht="12.75">
      <c r="D677" s="3"/>
      <c r="E677" s="8"/>
      <c r="F677" s="1"/>
      <c r="H677" s="13"/>
    </row>
    <row r="678" spans="4:8" ht="12.75">
      <c r="D678" s="3"/>
      <c r="E678" s="8"/>
      <c r="F678" s="1"/>
      <c r="H678" s="13"/>
    </row>
    <row r="679" spans="4:8" ht="12.75">
      <c r="D679" s="3"/>
      <c r="E679" s="8"/>
      <c r="F679" s="1"/>
      <c r="H679" s="13"/>
    </row>
    <row r="680" spans="4:8" ht="12.75">
      <c r="D680" s="3"/>
      <c r="E680" s="8"/>
      <c r="F680" s="1"/>
      <c r="H680" s="13"/>
    </row>
    <row r="681" spans="4:8" ht="12.75">
      <c r="D681" s="3"/>
      <c r="E681" s="8"/>
      <c r="F681" s="1"/>
      <c r="H681" s="13"/>
    </row>
    <row r="682" spans="4:8" ht="12.75">
      <c r="D682" s="3"/>
      <c r="E682" s="8"/>
      <c r="F682" s="1"/>
      <c r="H682" s="13"/>
    </row>
    <row r="683" spans="4:8" ht="12.75">
      <c r="D683" s="3"/>
      <c r="E683" s="8"/>
      <c r="F683" s="1"/>
      <c r="H683" s="13"/>
    </row>
    <row r="684" spans="4:8" ht="12.75">
      <c r="D684" s="3"/>
      <c r="E684" s="8"/>
      <c r="F684" s="1"/>
      <c r="H684" s="13"/>
    </row>
    <row r="685" spans="4:8" ht="12.75">
      <c r="D685" s="3"/>
      <c r="E685" s="8"/>
      <c r="F685" s="1"/>
      <c r="H685" s="13"/>
    </row>
    <row r="686" spans="4:8" ht="12.75">
      <c r="D686" s="3"/>
      <c r="E686" s="8"/>
      <c r="F686" s="1"/>
      <c r="H686" s="13"/>
    </row>
    <row r="687" spans="4:8" ht="12.75">
      <c r="D687" s="3"/>
      <c r="E687" s="8"/>
      <c r="F687" s="1"/>
      <c r="H687" s="13"/>
    </row>
    <row r="688" spans="4:8" ht="12.75">
      <c r="D688" s="3"/>
      <c r="E688" s="8"/>
      <c r="F688" s="1"/>
      <c r="H688" s="13"/>
    </row>
    <row r="689" spans="4:8" ht="12.75">
      <c r="D689" s="3"/>
      <c r="E689" s="8"/>
      <c r="F689" s="1"/>
      <c r="H689" s="13"/>
    </row>
    <row r="690" spans="4:8" ht="12.75">
      <c r="D690" s="3"/>
      <c r="E690" s="8"/>
      <c r="F690" s="1"/>
      <c r="H690" s="13"/>
    </row>
    <row r="691" spans="4:8" ht="12.75">
      <c r="D691" s="3"/>
      <c r="E691" s="8"/>
      <c r="F691" s="1"/>
      <c r="H691" s="13"/>
    </row>
    <row r="692" spans="4:8" ht="12.75">
      <c r="D692" s="3"/>
      <c r="E692" s="8"/>
      <c r="F692" s="1"/>
      <c r="H692" s="13"/>
    </row>
    <row r="693" spans="4:8" ht="12.75">
      <c r="D693" s="3"/>
      <c r="E693" s="8"/>
      <c r="F693" s="1"/>
      <c r="H693" s="13"/>
    </row>
    <row r="694" spans="4:8" ht="12.75">
      <c r="D694" s="3"/>
      <c r="E694" s="8"/>
      <c r="F694" s="1"/>
      <c r="H694" s="13"/>
    </row>
    <row r="695" spans="4:8" ht="12.75">
      <c r="D695" s="3"/>
      <c r="E695" s="8"/>
      <c r="F695" s="1"/>
      <c r="H695" s="13"/>
    </row>
    <row r="696" spans="4:8" ht="12.75">
      <c r="D696" s="3"/>
      <c r="E696" s="8"/>
      <c r="F696" s="1"/>
      <c r="H696" s="13"/>
    </row>
    <row r="697" spans="4:8" ht="12.75">
      <c r="D697" s="3"/>
      <c r="E697" s="8"/>
      <c r="F697" s="1"/>
      <c r="H697" s="13"/>
    </row>
    <row r="698" spans="4:8" ht="12.75">
      <c r="D698" s="3"/>
      <c r="E698" s="8"/>
      <c r="F698" s="1"/>
      <c r="H698" s="13"/>
    </row>
    <row r="699" spans="4:8" ht="12.75">
      <c r="D699" s="3"/>
      <c r="E699" s="8"/>
      <c r="F699" s="1"/>
      <c r="H699" s="13"/>
    </row>
    <row r="700" spans="4:8" ht="12.75">
      <c r="D700" s="3"/>
      <c r="E700" s="8"/>
      <c r="F700" s="1"/>
      <c r="H700" s="13"/>
    </row>
    <row r="701" spans="4:8" ht="12.75">
      <c r="D701" s="3"/>
      <c r="E701" s="8"/>
      <c r="F701" s="1"/>
      <c r="H701" s="13"/>
    </row>
    <row r="702" spans="4:8" ht="12.75">
      <c r="D702" s="3"/>
      <c r="E702" s="8"/>
      <c r="F702" s="1"/>
      <c r="H702" s="13"/>
    </row>
    <row r="703" spans="4:8" ht="12.75">
      <c r="D703" s="3"/>
      <c r="E703" s="8"/>
      <c r="F703" s="1"/>
      <c r="H703" s="13"/>
    </row>
    <row r="704" spans="4:8" ht="12.75">
      <c r="D704" s="3"/>
      <c r="E704" s="8"/>
      <c r="F704" s="1"/>
      <c r="H704" s="13"/>
    </row>
    <row r="705" spans="4:8" ht="12.75">
      <c r="D705" s="3"/>
      <c r="E705" s="8"/>
      <c r="F705" s="1"/>
      <c r="H705" s="13"/>
    </row>
    <row r="706" spans="4:8" ht="12.75">
      <c r="D706" s="3"/>
      <c r="E706" s="8"/>
      <c r="F706" s="1"/>
      <c r="H706" s="13"/>
    </row>
    <row r="707" spans="4:8" ht="12.75">
      <c r="D707" s="3"/>
      <c r="E707" s="8"/>
      <c r="F707" s="1"/>
      <c r="H707" s="13"/>
    </row>
    <row r="708" spans="4:8" ht="12.75">
      <c r="D708" s="3"/>
      <c r="E708" s="8"/>
      <c r="F708" s="1"/>
      <c r="H708" s="13"/>
    </row>
    <row r="709" spans="4:8" ht="12.75">
      <c r="D709" s="3"/>
      <c r="E709" s="8"/>
      <c r="F709" s="1"/>
      <c r="H709" s="13"/>
    </row>
    <row r="710" spans="4:8" ht="12.75">
      <c r="D710" s="3"/>
      <c r="E710" s="8"/>
      <c r="F710" s="1"/>
      <c r="H710" s="13"/>
    </row>
    <row r="711" spans="4:8" ht="12.75">
      <c r="D711" s="3"/>
      <c r="E711" s="8"/>
      <c r="F711" s="1"/>
      <c r="H711" s="13"/>
    </row>
    <row r="712" spans="4:8" ht="12.75">
      <c r="D712" s="3"/>
      <c r="E712" s="8"/>
      <c r="F712" s="1"/>
      <c r="H712" s="13"/>
    </row>
    <row r="713" spans="4:8" ht="12.75">
      <c r="D713" s="3"/>
      <c r="E713" s="8"/>
      <c r="F713" s="1"/>
      <c r="H713" s="13"/>
    </row>
    <row r="714" spans="4:8" ht="12.75">
      <c r="D714" s="3"/>
      <c r="E714" s="8"/>
      <c r="F714" s="1"/>
      <c r="H714" s="13"/>
    </row>
    <row r="715" spans="4:8" ht="12.75">
      <c r="D715" s="3"/>
      <c r="E715" s="8"/>
      <c r="F715" s="1"/>
      <c r="H715" s="13"/>
    </row>
    <row r="716" spans="4:8" ht="12.75">
      <c r="D716" s="3"/>
      <c r="E716" s="8"/>
      <c r="F716" s="1"/>
      <c r="H716" s="13"/>
    </row>
    <row r="717" spans="4:8" ht="12.75">
      <c r="D717" s="3"/>
      <c r="E717" s="8"/>
      <c r="F717" s="1"/>
      <c r="H717" s="13"/>
    </row>
    <row r="718" spans="4:8" ht="12.75">
      <c r="D718" s="3"/>
      <c r="E718" s="8"/>
      <c r="F718" s="1"/>
      <c r="H718" s="13"/>
    </row>
    <row r="719" spans="4:8" ht="12.75">
      <c r="D719" s="3"/>
      <c r="E719" s="8"/>
      <c r="F719" s="1"/>
      <c r="H719" s="13"/>
    </row>
    <row r="720" spans="4:8" ht="12.75">
      <c r="D720" s="3"/>
      <c r="E720" s="8"/>
      <c r="F720" s="1"/>
      <c r="H720" s="13"/>
    </row>
    <row r="721" spans="4:8" ht="12.75">
      <c r="D721" s="3"/>
      <c r="E721" s="8"/>
      <c r="F721" s="1"/>
      <c r="H721" s="13"/>
    </row>
    <row r="722" spans="4:8" ht="12.75">
      <c r="D722" s="3"/>
      <c r="E722" s="8"/>
      <c r="F722" s="1"/>
      <c r="H722" s="13"/>
    </row>
    <row r="723" spans="4:8" ht="12.75">
      <c r="D723" s="3"/>
      <c r="E723" s="8"/>
      <c r="F723" s="1"/>
      <c r="H723" s="13"/>
    </row>
    <row r="724" spans="4:8" ht="12.75">
      <c r="D724" s="3"/>
      <c r="E724" s="8"/>
      <c r="F724" s="1"/>
      <c r="H724" s="13"/>
    </row>
    <row r="725" spans="4:8" ht="12.75">
      <c r="D725" s="3"/>
      <c r="E725" s="8"/>
      <c r="F725" s="1"/>
      <c r="H725" s="13"/>
    </row>
    <row r="726" spans="4:8" ht="12.75">
      <c r="D726" s="3"/>
      <c r="E726" s="8"/>
      <c r="F726" s="1"/>
      <c r="H726" s="13"/>
    </row>
    <row r="727" spans="4:8" ht="12.75">
      <c r="D727" s="3"/>
      <c r="E727" s="8"/>
      <c r="F727" s="1"/>
      <c r="H727" s="13"/>
    </row>
    <row r="728" spans="4:8" ht="12.75">
      <c r="D728" s="3"/>
      <c r="E728" s="8"/>
      <c r="F728" s="1"/>
      <c r="H728" s="13"/>
    </row>
    <row r="729" spans="4:8" ht="12.75">
      <c r="D729" s="3"/>
      <c r="E729" s="8"/>
      <c r="F729" s="1"/>
      <c r="H729" s="13"/>
    </row>
    <row r="730" spans="4:8" ht="12.75">
      <c r="D730" s="3"/>
      <c r="E730" s="8"/>
      <c r="F730" s="1"/>
      <c r="H730" s="13"/>
    </row>
    <row r="731" spans="4:8" ht="12.75">
      <c r="D731" s="3"/>
      <c r="E731" s="8"/>
      <c r="F731" s="1"/>
      <c r="H731" s="13"/>
    </row>
    <row r="732" spans="4:8" ht="12.75">
      <c r="D732" s="3"/>
      <c r="E732" s="8"/>
      <c r="F732" s="1"/>
      <c r="H732" s="13"/>
    </row>
    <row r="733" spans="4:8" ht="12.75">
      <c r="D733" s="3"/>
      <c r="E733" s="8"/>
      <c r="F733" s="1"/>
      <c r="H733" s="13"/>
    </row>
    <row r="734" spans="4:8" ht="12.75">
      <c r="D734" s="3"/>
      <c r="E734" s="8"/>
      <c r="F734" s="1"/>
      <c r="H734" s="13"/>
    </row>
    <row r="735" spans="4:8" ht="12.75">
      <c r="D735" s="3"/>
      <c r="E735" s="8"/>
      <c r="F735" s="1"/>
      <c r="H735" s="13"/>
    </row>
    <row r="736" spans="4:8" ht="12.75">
      <c r="D736" s="3"/>
      <c r="E736" s="8"/>
      <c r="F736" s="1"/>
      <c r="H736" s="13"/>
    </row>
    <row r="737" spans="4:8" ht="12.75">
      <c r="D737" s="3"/>
      <c r="E737" s="8"/>
      <c r="F737" s="1"/>
      <c r="H737" s="13"/>
    </row>
    <row r="738" spans="4:8" ht="12.75">
      <c r="D738" s="3"/>
      <c r="E738" s="8"/>
      <c r="F738" s="1"/>
      <c r="H738" s="13"/>
    </row>
    <row r="739" spans="4:8" ht="12.75">
      <c r="D739" s="3"/>
      <c r="E739" s="8"/>
      <c r="F739" s="1"/>
      <c r="H739" s="13"/>
    </row>
    <row r="740" spans="4:8" ht="12.75">
      <c r="D740" s="3"/>
      <c r="E740" s="8"/>
      <c r="F740" s="1"/>
      <c r="H740" s="13"/>
    </row>
    <row r="741" spans="4:8" ht="12.75">
      <c r="D741" s="3"/>
      <c r="E741" s="8"/>
      <c r="F741" s="1"/>
      <c r="H741" s="13"/>
    </row>
    <row r="742" spans="4:8" ht="12.75">
      <c r="D742" s="3"/>
      <c r="E742" s="8"/>
      <c r="F742" s="1"/>
      <c r="H742" s="13"/>
    </row>
    <row r="743" spans="4:8" ht="12.75">
      <c r="D743" s="3"/>
      <c r="E743" s="8"/>
      <c r="F743" s="1"/>
      <c r="H743" s="13"/>
    </row>
    <row r="744" spans="4:8" ht="12.75">
      <c r="D744" s="3"/>
      <c r="E744" s="8"/>
      <c r="F744" s="1"/>
      <c r="H744" s="13"/>
    </row>
    <row r="745" spans="4:8" ht="12.75">
      <c r="D745" s="3"/>
      <c r="E745" s="8"/>
      <c r="F745" s="1"/>
      <c r="H745" s="13"/>
    </row>
    <row r="746" spans="4:8" ht="12.75">
      <c r="D746" s="3"/>
      <c r="E746" s="8"/>
      <c r="F746" s="1"/>
      <c r="H746" s="13"/>
    </row>
    <row r="747" spans="4:8" ht="12.75">
      <c r="D747" s="3"/>
      <c r="E747" s="8"/>
      <c r="F747" s="1"/>
      <c r="H747" s="13"/>
    </row>
    <row r="748" spans="4:8" ht="12.75">
      <c r="D748" s="3"/>
      <c r="E748" s="8"/>
      <c r="F748" s="1"/>
      <c r="H748" s="13"/>
    </row>
    <row r="749" spans="4:8" ht="12.75">
      <c r="D749" s="3"/>
      <c r="E749" s="8"/>
      <c r="F749" s="1"/>
      <c r="H749" s="13"/>
    </row>
    <row r="750" spans="4:8" ht="12.75">
      <c r="D750" s="3"/>
      <c r="E750" s="8"/>
      <c r="F750" s="1"/>
      <c r="H750" s="13"/>
    </row>
    <row r="751" spans="4:8" ht="12.75">
      <c r="D751" s="3"/>
      <c r="E751" s="8"/>
      <c r="F751" s="1"/>
      <c r="H751" s="13"/>
    </row>
    <row r="752" spans="4:8" ht="12.75">
      <c r="D752" s="3"/>
      <c r="E752" s="8"/>
      <c r="F752" s="1"/>
      <c r="H752" s="13"/>
    </row>
    <row r="753" spans="4:8" ht="12.75">
      <c r="D753" s="3"/>
      <c r="E753" s="8"/>
      <c r="F753" s="1"/>
      <c r="H753" s="13"/>
    </row>
    <row r="754" spans="4:8" ht="12.75">
      <c r="D754" s="3"/>
      <c r="E754" s="8"/>
      <c r="F754" s="1"/>
      <c r="H754" s="13"/>
    </row>
    <row r="755" spans="4:8" ht="12.75">
      <c r="D755" s="3"/>
      <c r="E755" s="8"/>
      <c r="F755" s="1"/>
      <c r="H755" s="13"/>
    </row>
    <row r="756" spans="4:8" ht="12.75">
      <c r="D756" s="3"/>
      <c r="E756" s="8"/>
      <c r="F756" s="1"/>
      <c r="H756" s="13"/>
    </row>
    <row r="757" spans="4:8" ht="12.75">
      <c r="D757" s="3"/>
      <c r="E757" s="8"/>
      <c r="F757" s="1"/>
      <c r="H757" s="13"/>
    </row>
    <row r="758" spans="4:8" ht="12.75">
      <c r="D758" s="3"/>
      <c r="E758" s="8"/>
      <c r="F758" s="1"/>
      <c r="H758" s="13"/>
    </row>
    <row r="759" spans="4:8" ht="12.75">
      <c r="D759" s="3"/>
      <c r="E759" s="8"/>
      <c r="F759" s="1"/>
      <c r="H759" s="13"/>
    </row>
    <row r="760" spans="4:8" ht="12.75">
      <c r="D760" s="3"/>
      <c r="E760" s="8"/>
      <c r="F760" s="1"/>
      <c r="H760" s="13"/>
    </row>
    <row r="761" spans="4:8" ht="12.75">
      <c r="D761" s="3"/>
      <c r="E761" s="8"/>
      <c r="F761" s="1"/>
      <c r="H761" s="13"/>
    </row>
    <row r="762" spans="4:8" ht="12.75">
      <c r="D762" s="3"/>
      <c r="E762" s="8"/>
      <c r="F762" s="1"/>
      <c r="H762" s="13"/>
    </row>
    <row r="763" spans="4:8" ht="12.75">
      <c r="D763" s="3"/>
      <c r="E763" s="8"/>
      <c r="F763" s="1"/>
      <c r="H763" s="13"/>
    </row>
    <row r="764" spans="4:8" ht="12.75">
      <c r="D764" s="3"/>
      <c r="E764" s="8"/>
      <c r="F764" s="1"/>
      <c r="H764" s="13"/>
    </row>
    <row r="765" spans="4:8" ht="12.75">
      <c r="D765" s="3"/>
      <c r="E765" s="8"/>
      <c r="F765" s="1"/>
      <c r="H765" s="13"/>
    </row>
    <row r="766" spans="4:8" ht="12.75">
      <c r="D766" s="3"/>
      <c r="E766" s="8"/>
      <c r="F766" s="1"/>
      <c r="H766" s="13"/>
    </row>
    <row r="767" spans="4:8" ht="12.75">
      <c r="D767" s="3"/>
      <c r="E767" s="8"/>
      <c r="F767" s="1"/>
      <c r="H767" s="13"/>
    </row>
    <row r="768" spans="4:8" ht="12.75">
      <c r="D768" s="3"/>
      <c r="E768" s="8"/>
      <c r="F768" s="1"/>
      <c r="H768" s="13"/>
    </row>
    <row r="769" spans="4:8" ht="12.75">
      <c r="D769" s="3"/>
      <c r="E769" s="8"/>
      <c r="F769" s="1"/>
      <c r="H769" s="13"/>
    </row>
    <row r="770" spans="4:8" ht="12.75">
      <c r="D770" s="3"/>
      <c r="E770" s="8"/>
      <c r="F770" s="1"/>
      <c r="H770" s="13"/>
    </row>
    <row r="771" spans="4:8" ht="12.75">
      <c r="D771" s="3"/>
      <c r="E771" s="8"/>
      <c r="F771" s="1"/>
      <c r="H771" s="13"/>
    </row>
    <row r="772" spans="4:8" ht="12.75">
      <c r="D772" s="3"/>
      <c r="E772" s="8"/>
      <c r="F772" s="1"/>
      <c r="H772" s="13"/>
    </row>
    <row r="773" spans="4:8" ht="12.75">
      <c r="D773" s="3"/>
      <c r="E773" s="8"/>
      <c r="F773" s="1"/>
      <c r="H773" s="13"/>
    </row>
    <row r="774" spans="4:8" ht="12.75">
      <c r="D774" s="3"/>
      <c r="E774" s="8"/>
      <c r="F774" s="1"/>
      <c r="H774" s="13"/>
    </row>
    <row r="775" spans="4:8" ht="12.75">
      <c r="D775" s="3"/>
      <c r="E775" s="8"/>
      <c r="F775" s="1"/>
      <c r="H775" s="13"/>
    </row>
    <row r="776" spans="4:8" ht="12.75">
      <c r="D776" s="3"/>
      <c r="E776" s="8"/>
      <c r="F776" s="1"/>
      <c r="H776" s="13"/>
    </row>
    <row r="777" spans="4:8" ht="12.75">
      <c r="D777" s="3"/>
      <c r="E777" s="8"/>
      <c r="F777" s="1"/>
      <c r="H777" s="13"/>
    </row>
    <row r="778" spans="4:8" ht="12.75">
      <c r="D778" s="3"/>
      <c r="E778" s="8"/>
      <c r="F778" s="1"/>
      <c r="H778" s="13"/>
    </row>
    <row r="779" spans="4:8" ht="12.75">
      <c r="D779" s="3"/>
      <c r="E779" s="8"/>
      <c r="F779" s="1"/>
      <c r="H779" s="13"/>
    </row>
    <row r="780" spans="4:8" ht="12.75">
      <c r="D780" s="3"/>
      <c r="E780" s="8"/>
      <c r="F780" s="1"/>
      <c r="H780" s="13"/>
    </row>
    <row r="781" spans="4:8" ht="12.75">
      <c r="D781" s="3"/>
      <c r="E781" s="8"/>
      <c r="F781" s="1"/>
      <c r="H781" s="13"/>
    </row>
    <row r="782" spans="4:8" ht="12.75">
      <c r="D782" s="3"/>
      <c r="E782" s="8"/>
      <c r="F782" s="1"/>
      <c r="H782" s="13"/>
    </row>
    <row r="783" spans="4:8" ht="12.75">
      <c r="D783" s="3"/>
      <c r="E783" s="8"/>
      <c r="F783" s="1"/>
      <c r="H783" s="13"/>
    </row>
    <row r="784" spans="4:8" ht="12.75">
      <c r="D784" s="3"/>
      <c r="E784" s="8"/>
      <c r="F784" s="1"/>
      <c r="H784" s="13"/>
    </row>
    <row r="785" spans="4:8" ht="12.75">
      <c r="D785" s="3"/>
      <c r="E785" s="8"/>
      <c r="F785" s="1"/>
      <c r="H785" s="13"/>
    </row>
    <row r="786" spans="4:8" ht="12.75">
      <c r="D786" s="3"/>
      <c r="E786" s="8"/>
      <c r="F786" s="1"/>
      <c r="H786" s="13"/>
    </row>
    <row r="787" spans="4:8" ht="12.75">
      <c r="D787" s="3"/>
      <c r="E787" s="8"/>
      <c r="F787" s="1"/>
      <c r="H787" s="13"/>
    </row>
    <row r="788" spans="4:8" ht="12.75">
      <c r="D788" s="3"/>
      <c r="E788" s="8"/>
      <c r="F788" s="1"/>
      <c r="H788" s="13"/>
    </row>
    <row r="789" spans="4:8" ht="12.75">
      <c r="D789" s="3"/>
      <c r="E789" s="8"/>
      <c r="F789" s="1"/>
      <c r="H789" s="13"/>
    </row>
    <row r="790" spans="4:8" ht="12.75">
      <c r="D790" s="3"/>
      <c r="E790" s="8"/>
      <c r="F790" s="1"/>
      <c r="H790" s="13"/>
    </row>
    <row r="791" spans="4:8" ht="12.75">
      <c r="D791" s="3"/>
      <c r="E791" s="8"/>
      <c r="F791" s="1"/>
      <c r="H791" s="13"/>
    </row>
    <row r="792" spans="4:8" ht="12.75">
      <c r="D792" s="3"/>
      <c r="E792" s="8"/>
      <c r="F792" s="1"/>
      <c r="H792" s="13"/>
    </row>
    <row r="793" spans="4:8" ht="12.75">
      <c r="D793" s="3"/>
      <c r="E793" s="8"/>
      <c r="F793" s="1"/>
      <c r="H793" s="13"/>
    </row>
    <row r="794" spans="4:8" ht="12.75">
      <c r="D794" s="3"/>
      <c r="E794" s="8"/>
      <c r="F794" s="1"/>
      <c r="H794" s="13"/>
    </row>
    <row r="795" spans="4:8" ht="12.75">
      <c r="D795" s="3"/>
      <c r="E795" s="8"/>
      <c r="F795" s="1"/>
      <c r="H795" s="13"/>
    </row>
    <row r="796" spans="4:8" ht="12.75">
      <c r="D796" s="3"/>
      <c r="E796" s="8"/>
      <c r="F796" s="1"/>
      <c r="H796" s="13"/>
    </row>
    <row r="797" spans="4:8" ht="12.75">
      <c r="D797" s="3"/>
      <c r="E797" s="8"/>
      <c r="F797" s="1"/>
      <c r="H797" s="13"/>
    </row>
    <row r="798" spans="4:8" ht="12.75">
      <c r="D798" s="3"/>
      <c r="E798" s="8"/>
      <c r="F798" s="1"/>
      <c r="H798" s="13"/>
    </row>
    <row r="799" spans="4:8" ht="12.75">
      <c r="D799" s="3"/>
      <c r="E799" s="8"/>
      <c r="F799" s="1"/>
      <c r="H799" s="13"/>
    </row>
    <row r="800" spans="4:8" ht="12.75">
      <c r="D800" s="3"/>
      <c r="E800" s="8"/>
      <c r="F800" s="1"/>
      <c r="H800" s="13"/>
    </row>
    <row r="801" spans="4:8" ht="12.75">
      <c r="D801" s="3"/>
      <c r="E801" s="8"/>
      <c r="F801" s="1"/>
      <c r="H801" s="13"/>
    </row>
    <row r="802" spans="4:8" ht="12.75">
      <c r="D802" s="3"/>
      <c r="E802" s="8"/>
      <c r="F802" s="1"/>
      <c r="H802" s="13"/>
    </row>
    <row r="803" spans="4:8" ht="12.75">
      <c r="D803" s="3"/>
      <c r="E803" s="8"/>
      <c r="F803" s="1"/>
      <c r="H803" s="13"/>
    </row>
    <row r="804" spans="4:8" ht="12.75">
      <c r="D804" s="3"/>
      <c r="E804" s="8"/>
      <c r="F804" s="1"/>
      <c r="H804" s="13"/>
    </row>
    <row r="805" spans="4:8" ht="12.75">
      <c r="D805" s="3"/>
      <c r="E805" s="8"/>
      <c r="F805" s="1"/>
      <c r="H805" s="13"/>
    </row>
    <row r="806" spans="4:8" ht="12.75">
      <c r="D806" s="3"/>
      <c r="E806" s="8"/>
      <c r="F806" s="1"/>
      <c r="H806" s="13"/>
    </row>
    <row r="807" spans="4:8" ht="12.75">
      <c r="D807" s="3"/>
      <c r="E807" s="8"/>
      <c r="F807" s="1"/>
      <c r="H807" s="13"/>
    </row>
    <row r="808" spans="4:8" ht="12.75">
      <c r="D808" s="3"/>
      <c r="E808" s="8"/>
      <c r="F808" s="1"/>
      <c r="H808" s="13"/>
    </row>
    <row r="809" spans="4:8" ht="12.75">
      <c r="D809" s="3"/>
      <c r="E809" s="8"/>
      <c r="F809" s="1"/>
      <c r="H809" s="13"/>
    </row>
    <row r="810" spans="4:8" ht="12.75">
      <c r="D810" s="3"/>
      <c r="E810" s="8"/>
      <c r="F810" s="1"/>
      <c r="H810" s="13"/>
    </row>
    <row r="811" spans="4:8" ht="12.75">
      <c r="D811" s="3"/>
      <c r="E811" s="8"/>
      <c r="F811" s="1"/>
      <c r="H811" s="13"/>
    </row>
    <row r="812" spans="4:8" ht="12.75">
      <c r="D812" s="3"/>
      <c r="E812" s="8"/>
      <c r="F812" s="1"/>
      <c r="H812" s="13"/>
    </row>
    <row r="813" spans="4:8" ht="12.75">
      <c r="D813" s="3"/>
      <c r="E813" s="8"/>
      <c r="F813" s="1"/>
      <c r="H813" s="13"/>
    </row>
    <row r="814" spans="4:8" ht="12.75">
      <c r="D814" s="3"/>
      <c r="E814" s="8"/>
      <c r="F814" s="1"/>
      <c r="H814" s="13"/>
    </row>
    <row r="815" spans="4:8" ht="12.75">
      <c r="D815" s="3"/>
      <c r="E815" s="8"/>
      <c r="F815" s="1"/>
      <c r="H815" s="13"/>
    </row>
    <row r="816" spans="4:8" ht="12.75">
      <c r="D816" s="3"/>
      <c r="E816" s="8"/>
      <c r="F816" s="1"/>
      <c r="H816" s="13"/>
    </row>
    <row r="817" spans="4:8" ht="12.75">
      <c r="D817" s="3"/>
      <c r="E817" s="8"/>
      <c r="F817" s="1"/>
      <c r="H817" s="13"/>
    </row>
    <row r="818" spans="4:8" ht="12.75">
      <c r="D818" s="3"/>
      <c r="E818" s="8"/>
      <c r="F818" s="1"/>
      <c r="H818" s="13"/>
    </row>
    <row r="819" spans="4:8" ht="12.75">
      <c r="D819" s="3"/>
      <c r="E819" s="8"/>
      <c r="F819" s="1"/>
      <c r="H819" s="13"/>
    </row>
    <row r="820" spans="4:8" ht="12.75">
      <c r="D820" s="3"/>
      <c r="E820" s="8"/>
      <c r="F820" s="1"/>
      <c r="H820" s="13"/>
    </row>
    <row r="821" spans="4:8" ht="12.75">
      <c r="D821" s="3"/>
      <c r="E821" s="8"/>
      <c r="F821" s="1"/>
      <c r="H821" s="13"/>
    </row>
    <row r="822" spans="4:8" ht="12.75">
      <c r="D822" s="3"/>
      <c r="E822" s="8"/>
      <c r="F822" s="1"/>
      <c r="H822" s="13"/>
    </row>
    <row r="823" spans="4:8" ht="12.75">
      <c r="D823" s="3"/>
      <c r="E823" s="8"/>
      <c r="F823" s="1"/>
      <c r="H823" s="13"/>
    </row>
    <row r="824" spans="4:8" ht="12.75">
      <c r="D824" s="3"/>
      <c r="E824" s="8"/>
      <c r="F824" s="1"/>
      <c r="H824" s="13"/>
    </row>
    <row r="825" spans="4:8" ht="12.75">
      <c r="D825" s="3"/>
      <c r="E825" s="8"/>
      <c r="F825" s="1"/>
      <c r="H825" s="13"/>
    </row>
    <row r="826" spans="4:8" ht="12.75">
      <c r="D826" s="3"/>
      <c r="E826" s="8"/>
      <c r="F826" s="1"/>
      <c r="H826" s="13"/>
    </row>
    <row r="827" spans="4:8" ht="12.75">
      <c r="D827" s="3"/>
      <c r="E827" s="8"/>
      <c r="F827" s="1"/>
      <c r="H827" s="13"/>
    </row>
    <row r="828" spans="4:8" ht="12.75">
      <c r="D828" s="3"/>
      <c r="E828" s="8"/>
      <c r="F828" s="1"/>
      <c r="H828" s="13"/>
    </row>
    <row r="829" spans="4:8" ht="12.75">
      <c r="D829" s="3"/>
      <c r="E829" s="8"/>
      <c r="F829" s="1"/>
      <c r="H829" s="13"/>
    </row>
    <row r="830" spans="4:8" ht="12.75">
      <c r="D830" s="3"/>
      <c r="E830" s="8"/>
      <c r="F830" s="1"/>
      <c r="H830" s="13"/>
    </row>
    <row r="831" spans="4:8" ht="12.75">
      <c r="D831" s="3"/>
      <c r="E831" s="8"/>
      <c r="F831" s="1"/>
      <c r="H831" s="13"/>
    </row>
    <row r="832" spans="4:8" ht="12.75">
      <c r="D832" s="3"/>
      <c r="E832" s="8"/>
      <c r="F832" s="1"/>
      <c r="H832" s="13"/>
    </row>
    <row r="833" spans="4:8" ht="12.75">
      <c r="D833" s="3"/>
      <c r="E833" s="8"/>
      <c r="F833" s="1"/>
      <c r="H833" s="13"/>
    </row>
    <row r="834" spans="4:8" ht="12.75">
      <c r="D834" s="3"/>
      <c r="E834" s="8"/>
      <c r="F834" s="1"/>
      <c r="H834" s="13"/>
    </row>
    <row r="835" spans="4:8" ht="12.75">
      <c r="D835" s="3"/>
      <c r="E835" s="8"/>
      <c r="F835" s="1"/>
      <c r="H835" s="13"/>
    </row>
    <row r="836" spans="4:8" ht="12.75">
      <c r="D836" s="3"/>
      <c r="E836" s="8"/>
      <c r="F836" s="1"/>
      <c r="H836" s="13"/>
    </row>
    <row r="837" spans="4:8" ht="12.75">
      <c r="D837" s="3"/>
      <c r="E837" s="8"/>
      <c r="F837" s="1"/>
      <c r="H837" s="13"/>
    </row>
    <row r="838" spans="4:8" ht="12.75">
      <c r="D838" s="3"/>
      <c r="E838" s="8"/>
      <c r="F838" s="1"/>
      <c r="H838" s="13"/>
    </row>
    <row r="839" spans="4:8" ht="12.75">
      <c r="D839" s="3"/>
      <c r="E839" s="8"/>
      <c r="F839" s="1"/>
      <c r="H839" s="13"/>
    </row>
    <row r="840" spans="4:8" ht="12.75">
      <c r="D840" s="3"/>
      <c r="E840" s="8"/>
      <c r="F840" s="1"/>
      <c r="H840" s="13"/>
    </row>
    <row r="841" spans="4:8" ht="12.75">
      <c r="D841" s="3"/>
      <c r="E841" s="8"/>
      <c r="F841" s="1"/>
      <c r="H841" s="13"/>
    </row>
    <row r="842" spans="4:8" ht="12.75">
      <c r="D842" s="3"/>
      <c r="E842" s="8"/>
      <c r="F842" s="1"/>
      <c r="H842" s="13"/>
    </row>
    <row r="843" spans="4:8" ht="12.75">
      <c r="D843" s="3"/>
      <c r="E843" s="8"/>
      <c r="F843" s="1"/>
      <c r="H843" s="13"/>
    </row>
    <row r="844" spans="4:8" ht="12.75">
      <c r="D844" s="3"/>
      <c r="E844" s="8"/>
      <c r="F844" s="1"/>
      <c r="H844" s="13"/>
    </row>
    <row r="845" spans="4:8" ht="12.75">
      <c r="D845" s="3"/>
      <c r="E845" s="8"/>
      <c r="F845" s="1"/>
      <c r="H845" s="13"/>
    </row>
    <row r="846" spans="4:8" ht="12.75">
      <c r="D846" s="3"/>
      <c r="E846" s="8"/>
      <c r="F846" s="1"/>
      <c r="H846" s="13"/>
    </row>
    <row r="847" spans="4:8" ht="12.75">
      <c r="D847" s="3"/>
      <c r="E847" s="8"/>
      <c r="F847" s="1"/>
      <c r="H847" s="13"/>
    </row>
    <row r="848" spans="4:8" ht="12.75">
      <c r="D848" s="3"/>
      <c r="E848" s="8"/>
      <c r="F848" s="1"/>
      <c r="H848" s="13"/>
    </row>
    <row r="849" spans="4:8" ht="12.75">
      <c r="D849" s="3"/>
      <c r="E849" s="8"/>
      <c r="F849" s="1"/>
      <c r="H849" s="13"/>
    </row>
    <row r="850" spans="4:8" ht="12.75">
      <c r="D850" s="3"/>
      <c r="E850" s="8"/>
      <c r="F850" s="1"/>
      <c r="H850" s="13"/>
    </row>
    <row r="851" spans="4:8" ht="12.75">
      <c r="D851" s="3"/>
      <c r="E851" s="8"/>
      <c r="F851" s="1"/>
      <c r="H851" s="13"/>
    </row>
    <row r="852" spans="4:8" ht="12.75">
      <c r="D852" s="3"/>
      <c r="E852" s="8"/>
      <c r="F852" s="1"/>
      <c r="H852" s="13"/>
    </row>
    <row r="853" spans="4:8" ht="12.75">
      <c r="D853" s="3"/>
      <c r="E853" s="8"/>
      <c r="F853" s="1"/>
      <c r="H853" s="13"/>
    </row>
    <row r="854" spans="4:8" ht="12.75">
      <c r="D854" s="3"/>
      <c r="E854" s="8"/>
      <c r="F854" s="1"/>
      <c r="H854" s="13"/>
    </row>
    <row r="855" spans="4:8" ht="12.75">
      <c r="D855" s="3"/>
      <c r="E855" s="8"/>
      <c r="F855" s="1"/>
      <c r="H855" s="13"/>
    </row>
    <row r="856" spans="4:8" ht="12.75">
      <c r="D856" s="3"/>
      <c r="E856" s="8"/>
      <c r="F856" s="1"/>
      <c r="H856" s="13"/>
    </row>
    <row r="857" spans="4:8" ht="12.75">
      <c r="D857" s="3"/>
      <c r="E857" s="8"/>
      <c r="F857" s="1"/>
      <c r="H857" s="13"/>
    </row>
    <row r="858" spans="4:8" ht="12.75">
      <c r="D858" s="3"/>
      <c r="E858" s="8"/>
      <c r="F858" s="1"/>
      <c r="H858" s="13"/>
    </row>
    <row r="859" spans="4:8" ht="12.75">
      <c r="D859" s="3"/>
      <c r="E859" s="8"/>
      <c r="F859" s="1"/>
      <c r="H859" s="13"/>
    </row>
    <row r="860" spans="4:8" ht="12.75">
      <c r="D860" s="3"/>
      <c r="E860" s="8"/>
      <c r="F860" s="1"/>
      <c r="H860" s="13"/>
    </row>
    <row r="861" spans="4:8" ht="12.75">
      <c r="D861" s="3"/>
      <c r="E861" s="8"/>
      <c r="F861" s="1"/>
      <c r="H861" s="13"/>
    </row>
    <row r="862" spans="4:8" ht="12.75">
      <c r="D862" s="3"/>
      <c r="E862" s="8"/>
      <c r="F862" s="1"/>
      <c r="H862" s="13"/>
    </row>
    <row r="863" spans="4:8" ht="12.75">
      <c r="D863" s="3"/>
      <c r="E863" s="8"/>
      <c r="F863" s="1"/>
      <c r="H863" s="13"/>
    </row>
    <row r="864" spans="4:8" ht="12.75">
      <c r="D864" s="3"/>
      <c r="E864" s="8"/>
      <c r="F864" s="1"/>
      <c r="H864" s="13"/>
    </row>
    <row r="865" spans="4:8" ht="12.75">
      <c r="D865" s="3"/>
      <c r="E865" s="8"/>
      <c r="F865" s="1"/>
      <c r="H865" s="13"/>
    </row>
    <row r="866" spans="4:8" ht="12.75">
      <c r="D866" s="3"/>
      <c r="E866" s="8"/>
      <c r="F866" s="1"/>
      <c r="H866" s="13"/>
    </row>
    <row r="867" spans="4:8" ht="12.75">
      <c r="D867" s="3"/>
      <c r="E867" s="8"/>
      <c r="F867" s="1"/>
      <c r="H867" s="13"/>
    </row>
    <row r="868" spans="4:8" ht="12.75">
      <c r="D868" s="3"/>
      <c r="E868" s="8"/>
      <c r="F868" s="1"/>
      <c r="H868" s="13"/>
    </row>
    <row r="869" spans="4:8" ht="12.75">
      <c r="D869" s="3"/>
      <c r="E869" s="8"/>
      <c r="F869" s="1"/>
      <c r="H869" s="13"/>
    </row>
    <row r="870" spans="4:8" ht="12.75">
      <c r="D870" s="3"/>
      <c r="E870" s="8"/>
      <c r="F870" s="1"/>
      <c r="H870" s="13"/>
    </row>
    <row r="871" spans="4:8" ht="12.75">
      <c r="D871" s="3"/>
      <c r="E871" s="8"/>
      <c r="F871" s="1"/>
      <c r="H871" s="13"/>
    </row>
    <row r="872" spans="4:8" ht="12.75">
      <c r="D872" s="3"/>
      <c r="E872" s="8"/>
      <c r="F872" s="1"/>
      <c r="H872" s="13"/>
    </row>
    <row r="873" spans="4:8" ht="12.75">
      <c r="D873" s="3"/>
      <c r="E873" s="8"/>
      <c r="F873" s="1"/>
      <c r="H873" s="13"/>
    </row>
    <row r="874" spans="4:8" ht="12.75">
      <c r="D874" s="3"/>
      <c r="E874" s="8"/>
      <c r="F874" s="1"/>
      <c r="H874" s="13"/>
    </row>
    <row r="875" spans="4:8" ht="12.75">
      <c r="D875" s="3"/>
      <c r="E875" s="8"/>
      <c r="F875" s="1"/>
      <c r="H875" s="13"/>
    </row>
    <row r="876" spans="4:8" ht="12.75">
      <c r="D876" s="3"/>
      <c r="E876" s="8"/>
      <c r="F876" s="1"/>
      <c r="H876" s="13"/>
    </row>
    <row r="877" spans="4:8" ht="12.75">
      <c r="D877" s="3"/>
      <c r="E877" s="8"/>
      <c r="F877" s="1"/>
      <c r="H877" s="13"/>
    </row>
    <row r="878" spans="4:8" ht="12.75">
      <c r="D878" s="3"/>
      <c r="E878" s="8"/>
      <c r="F878" s="1"/>
      <c r="H878" s="13"/>
    </row>
    <row r="879" spans="4:8" ht="12.75">
      <c r="D879" s="3"/>
      <c r="E879" s="8"/>
      <c r="F879" s="1"/>
      <c r="H879" s="13"/>
    </row>
    <row r="880" spans="4:8" ht="12.75">
      <c r="D880" s="3"/>
      <c r="E880" s="8"/>
      <c r="F880" s="1"/>
      <c r="H880" s="13"/>
    </row>
    <row r="881" spans="4:8" ht="12.75">
      <c r="D881" s="3"/>
      <c r="E881" s="8"/>
      <c r="F881" s="1"/>
      <c r="H881" s="13"/>
    </row>
    <row r="882" spans="4:8" ht="12.75">
      <c r="D882" s="3"/>
      <c r="E882" s="8"/>
      <c r="F882" s="1"/>
      <c r="H882" s="13"/>
    </row>
    <row r="883" spans="4:8" ht="12.75">
      <c r="D883" s="3"/>
      <c r="E883" s="8"/>
      <c r="F883" s="1"/>
      <c r="H883" s="13"/>
    </row>
    <row r="884" spans="4:8" ht="12.75">
      <c r="D884" s="3"/>
      <c r="E884" s="8"/>
      <c r="F884" s="1"/>
      <c r="H884" s="13"/>
    </row>
    <row r="885" spans="4:8" ht="12.75">
      <c r="D885" s="3"/>
      <c r="E885" s="8"/>
      <c r="F885" s="1"/>
      <c r="H885" s="13"/>
    </row>
    <row r="886" spans="4:8" ht="12.75">
      <c r="D886" s="3"/>
      <c r="E886" s="8"/>
      <c r="F886" s="1"/>
      <c r="H886" s="13"/>
    </row>
    <row r="887" spans="4:8" ht="12.75">
      <c r="D887" s="3"/>
      <c r="E887" s="8"/>
      <c r="F887" s="1"/>
      <c r="H887" s="13"/>
    </row>
    <row r="888" spans="4:8" ht="12.75">
      <c r="D888" s="3"/>
      <c r="E888" s="8"/>
      <c r="F888" s="1"/>
      <c r="H888" s="13"/>
    </row>
    <row r="889" spans="4:8" ht="12.75">
      <c r="D889" s="3"/>
      <c r="E889" s="8"/>
      <c r="F889" s="1"/>
      <c r="H889" s="13"/>
    </row>
    <row r="890" spans="4:8" ht="12.75">
      <c r="D890" s="3"/>
      <c r="E890" s="8"/>
      <c r="F890" s="1"/>
      <c r="H890" s="13"/>
    </row>
    <row r="891" spans="4:8" ht="12.75">
      <c r="D891" s="3"/>
      <c r="E891" s="8"/>
      <c r="F891" s="1"/>
      <c r="H891" s="13"/>
    </row>
    <row r="892" spans="4:8" ht="12.75">
      <c r="D892" s="3"/>
      <c r="E892" s="8"/>
      <c r="F892" s="1"/>
      <c r="H892" s="13"/>
    </row>
    <row r="893" spans="4:8" ht="12.75">
      <c r="D893" s="3"/>
      <c r="E893" s="8"/>
      <c r="F893" s="1"/>
      <c r="H893" s="13"/>
    </row>
    <row r="894" spans="4:8" ht="12.75">
      <c r="D894" s="3"/>
      <c r="E894" s="8"/>
      <c r="F894" s="1"/>
      <c r="H894" s="13"/>
    </row>
    <row r="895" spans="4:8" ht="12.75">
      <c r="D895" s="3"/>
      <c r="E895" s="8"/>
      <c r="F895" s="1"/>
      <c r="H895" s="13"/>
    </row>
    <row r="896" spans="4:8" ht="12.75">
      <c r="D896" s="3"/>
      <c r="E896" s="8"/>
      <c r="F896" s="1"/>
      <c r="H896" s="13"/>
    </row>
    <row r="897" spans="4:8" ht="12.75">
      <c r="D897" s="3"/>
      <c r="E897" s="8"/>
      <c r="F897" s="1"/>
      <c r="H897" s="13"/>
    </row>
    <row r="898" spans="4:8" ht="12.75">
      <c r="D898" s="3"/>
      <c r="E898" s="8"/>
      <c r="F898" s="1"/>
      <c r="H898" s="13"/>
    </row>
    <row r="899" spans="4:8" ht="12.75">
      <c r="D899" s="3"/>
      <c r="E899" s="8"/>
      <c r="F899" s="1"/>
      <c r="H899" s="13"/>
    </row>
    <row r="900" spans="4:8" ht="12.75">
      <c r="D900" s="3"/>
      <c r="E900" s="8"/>
      <c r="F900" s="1"/>
      <c r="H900" s="13"/>
    </row>
    <row r="901" spans="4:8" ht="12.75">
      <c r="D901" s="3"/>
      <c r="E901" s="8"/>
      <c r="F901" s="1"/>
      <c r="H901" s="13"/>
    </row>
    <row r="902" spans="4:8" ht="12.75">
      <c r="D902" s="3"/>
      <c r="E902" s="8"/>
      <c r="F902" s="1"/>
      <c r="H902" s="13"/>
    </row>
    <row r="903" spans="4:8" ht="12.75">
      <c r="D903" s="3"/>
      <c r="E903" s="8"/>
      <c r="F903" s="1"/>
      <c r="H903" s="13"/>
    </row>
    <row r="904" spans="4:8" ht="12.75">
      <c r="D904" s="3"/>
      <c r="E904" s="8"/>
      <c r="F904" s="1"/>
      <c r="H904" s="13"/>
    </row>
    <row r="905" spans="4:8" ht="12.75">
      <c r="D905" s="3"/>
      <c r="E905" s="8"/>
      <c r="F905" s="1"/>
      <c r="H905" s="13"/>
    </row>
    <row r="906" spans="4:8" ht="12.75">
      <c r="D906" s="3"/>
      <c r="E906" s="8"/>
      <c r="F906" s="1"/>
      <c r="H906" s="13"/>
    </row>
    <row r="907" spans="4:8" ht="12.75">
      <c r="D907" s="3"/>
      <c r="E907" s="8"/>
      <c r="F907" s="1"/>
      <c r="H907" s="13"/>
    </row>
    <row r="908" spans="4:8" ht="12.75">
      <c r="D908" s="3"/>
      <c r="E908" s="8"/>
      <c r="F908" s="1"/>
      <c r="H908" s="13"/>
    </row>
    <row r="909" spans="4:8" ht="12.75">
      <c r="D909" s="3"/>
      <c r="E909" s="8"/>
      <c r="F909" s="1"/>
      <c r="H909" s="13"/>
    </row>
    <row r="910" spans="4:8" ht="12.75">
      <c r="D910" s="3"/>
      <c r="E910" s="8"/>
      <c r="F910" s="1"/>
      <c r="H910" s="13"/>
    </row>
    <row r="911" spans="4:8" ht="12.75">
      <c r="D911" s="3"/>
      <c r="E911" s="8"/>
      <c r="F911" s="1"/>
      <c r="H911" s="13"/>
    </row>
    <row r="912" spans="4:8" ht="12.75">
      <c r="D912" s="3"/>
      <c r="E912" s="8"/>
      <c r="F912" s="1"/>
      <c r="H912" s="13"/>
    </row>
    <row r="913" spans="4:8" ht="12.75">
      <c r="D913" s="3"/>
      <c r="E913" s="8"/>
      <c r="F913" s="1"/>
      <c r="H913" s="13"/>
    </row>
    <row r="914" spans="4:8" ht="12.75">
      <c r="D914" s="3"/>
      <c r="E914" s="8"/>
      <c r="F914" s="1"/>
      <c r="H914" s="13"/>
    </row>
    <row r="915" spans="4:8" ht="12.75">
      <c r="D915" s="3"/>
      <c r="E915" s="8"/>
      <c r="F915" s="1"/>
      <c r="H915" s="13"/>
    </row>
    <row r="916" spans="4:8" ht="12.75">
      <c r="D916" s="3"/>
      <c r="E916" s="8"/>
      <c r="F916" s="1"/>
      <c r="H916" s="13"/>
    </row>
    <row r="917" spans="4:8" ht="12.75">
      <c r="D917" s="3"/>
      <c r="E917" s="8"/>
      <c r="F917" s="1"/>
      <c r="H917" s="13"/>
    </row>
    <row r="918" spans="4:8" ht="12.75">
      <c r="D918" s="3"/>
      <c r="E918" s="8"/>
      <c r="F918" s="1"/>
      <c r="H918" s="13"/>
    </row>
    <row r="919" spans="4:8" ht="12.75">
      <c r="D919" s="3"/>
      <c r="E919" s="8"/>
      <c r="F919" s="1"/>
      <c r="H919" s="13"/>
    </row>
    <row r="920" spans="4:8" ht="12.75">
      <c r="D920" s="3"/>
      <c r="E920" s="8"/>
      <c r="F920" s="1"/>
      <c r="H920" s="13"/>
    </row>
    <row r="921" spans="4:8" ht="12.75">
      <c r="D921" s="3"/>
      <c r="E921" s="8"/>
      <c r="F921" s="1"/>
      <c r="H921" s="13"/>
    </row>
    <row r="922" spans="4:8" ht="12.75">
      <c r="D922" s="3"/>
      <c r="E922" s="8"/>
      <c r="F922" s="1"/>
      <c r="H922" s="13"/>
    </row>
    <row r="923" spans="4:8" ht="12.75">
      <c r="D923" s="3"/>
      <c r="E923" s="8"/>
      <c r="F923" s="1"/>
      <c r="H923" s="13"/>
    </row>
    <row r="924" spans="4:8" ht="12.75">
      <c r="D924" s="3"/>
      <c r="E924" s="8"/>
      <c r="F924" s="1"/>
      <c r="H924" s="13"/>
    </row>
    <row r="925" spans="4:8" ht="12.75">
      <c r="D925" s="3"/>
      <c r="E925" s="8"/>
      <c r="F925" s="1"/>
      <c r="H925" s="13"/>
    </row>
    <row r="926" spans="4:8" ht="12.75">
      <c r="D926" s="3"/>
      <c r="E926" s="8"/>
      <c r="F926" s="1"/>
      <c r="H926" s="13"/>
    </row>
    <row r="927" spans="4:8" ht="12.75">
      <c r="D927" s="3"/>
      <c r="E927" s="8"/>
      <c r="F927" s="1"/>
      <c r="H927" s="13"/>
    </row>
    <row r="928" spans="4:8" ht="12.75">
      <c r="D928" s="3"/>
      <c r="E928" s="8"/>
      <c r="F928" s="1"/>
      <c r="H928" s="13"/>
    </row>
    <row r="929" spans="4:8" ht="12.75">
      <c r="D929" s="3"/>
      <c r="E929" s="8"/>
      <c r="F929" s="1"/>
      <c r="H929" s="13"/>
    </row>
    <row r="930" spans="4:8" ht="12.75">
      <c r="D930" s="3"/>
      <c r="E930" s="8"/>
      <c r="F930" s="1"/>
      <c r="H930" s="13"/>
    </row>
    <row r="931" spans="4:8" ht="12.75">
      <c r="D931" s="3"/>
      <c r="E931" s="8"/>
      <c r="F931" s="1"/>
      <c r="H931" s="13"/>
    </row>
    <row r="932" spans="4:8" ht="12.75">
      <c r="D932" s="3"/>
      <c r="E932" s="8"/>
      <c r="F932" s="1"/>
      <c r="H932" s="13"/>
    </row>
    <row r="933" spans="4:8" ht="12.75">
      <c r="D933" s="3"/>
      <c r="E933" s="8"/>
      <c r="F933" s="1"/>
      <c r="H933" s="13"/>
    </row>
    <row r="934" spans="4:8" ht="12.75">
      <c r="D934" s="3"/>
      <c r="E934" s="8"/>
      <c r="F934" s="1"/>
      <c r="H934" s="13"/>
    </row>
    <row r="935" spans="4:8" ht="12.75">
      <c r="D935" s="3"/>
      <c r="E935" s="8"/>
      <c r="F935" s="1"/>
      <c r="H935" s="13"/>
    </row>
    <row r="936" spans="4:8" ht="12.75">
      <c r="D936" s="3"/>
      <c r="E936" s="8"/>
      <c r="F936" s="1"/>
      <c r="H936" s="13"/>
    </row>
    <row r="937" spans="4:8" ht="12.75">
      <c r="D937" s="3"/>
      <c r="E937" s="8"/>
      <c r="F937" s="1"/>
      <c r="H937" s="13"/>
    </row>
    <row r="938" spans="4:8" ht="12.75">
      <c r="D938" s="3"/>
      <c r="E938" s="8"/>
      <c r="F938" s="1"/>
      <c r="H938" s="13"/>
    </row>
    <row r="939" spans="4:8" ht="12.75">
      <c r="D939" s="3"/>
      <c r="E939" s="8"/>
      <c r="F939" s="1"/>
      <c r="H939" s="13"/>
    </row>
    <row r="940" spans="4:8" ht="12.75">
      <c r="D940" s="3"/>
      <c r="E940" s="8"/>
      <c r="F940" s="1"/>
      <c r="H940" s="13"/>
    </row>
    <row r="941" spans="4:8" ht="12.75">
      <c r="D941" s="3"/>
      <c r="E941" s="8"/>
      <c r="F941" s="1"/>
      <c r="H941" s="13"/>
    </row>
    <row r="942" spans="4:8" ht="12.75">
      <c r="D942" s="3"/>
      <c r="E942" s="8"/>
      <c r="F942" s="1"/>
      <c r="H942" s="13"/>
    </row>
    <row r="943" spans="4:8" ht="12.75">
      <c r="D943" s="3"/>
      <c r="E943" s="8"/>
      <c r="F943" s="1"/>
      <c r="H943" s="13"/>
    </row>
    <row r="944" spans="4:8" ht="12.75">
      <c r="D944" s="3"/>
      <c r="E944" s="8"/>
      <c r="F944" s="1"/>
      <c r="H944" s="13"/>
    </row>
    <row r="945" spans="4:8" ht="12.75">
      <c r="D945" s="3"/>
      <c r="E945" s="8"/>
      <c r="F945" s="1"/>
      <c r="H945" s="13"/>
    </row>
    <row r="946" spans="4:8" ht="12.75">
      <c r="D946" s="3"/>
      <c r="E946" s="8"/>
      <c r="F946" s="1"/>
      <c r="H946" s="13"/>
    </row>
    <row r="947" spans="4:8" ht="12.75">
      <c r="D947" s="3"/>
      <c r="E947" s="8"/>
      <c r="F947" s="1"/>
      <c r="H947" s="13"/>
    </row>
    <row r="948" spans="4:8" ht="12.75">
      <c r="D948" s="3"/>
      <c r="E948" s="8"/>
      <c r="F948" s="1"/>
      <c r="H948" s="13"/>
    </row>
    <row r="949" spans="4:8" ht="12.75">
      <c r="D949" s="3"/>
      <c r="E949" s="8"/>
      <c r="F949" s="1"/>
      <c r="H949" s="13"/>
    </row>
    <row r="950" spans="4:8" ht="12.75">
      <c r="D950" s="3"/>
      <c r="E950" s="8"/>
      <c r="F950" s="1"/>
      <c r="H950" s="13"/>
    </row>
    <row r="951" spans="4:8" ht="12.75">
      <c r="D951" s="3"/>
      <c r="E951" s="8"/>
      <c r="F951" s="1"/>
      <c r="H951" s="13"/>
    </row>
    <row r="952" spans="4:8" ht="12.75">
      <c r="D952" s="3"/>
      <c r="E952" s="8"/>
      <c r="F952" s="1"/>
      <c r="H952" s="13"/>
    </row>
    <row r="953" spans="4:8" ht="12.75">
      <c r="D953" s="3"/>
      <c r="E953" s="8"/>
      <c r="F953" s="1"/>
      <c r="H953" s="13"/>
    </row>
    <row r="954" spans="4:8" ht="12.75">
      <c r="D954" s="3"/>
      <c r="E954" s="8"/>
      <c r="F954" s="1"/>
      <c r="H954" s="13"/>
    </row>
    <row r="955" spans="4:8" ht="12.75">
      <c r="D955" s="3"/>
      <c r="E955" s="8"/>
      <c r="F955" s="1"/>
      <c r="H955" s="13"/>
    </row>
    <row r="956" spans="4:8" ht="12.75">
      <c r="D956" s="3"/>
      <c r="E956" s="8"/>
      <c r="F956" s="1"/>
      <c r="H956" s="13"/>
    </row>
    <row r="957" spans="4:8" ht="12.75">
      <c r="D957" s="3"/>
      <c r="E957" s="8"/>
      <c r="F957" s="1"/>
      <c r="H957" s="13"/>
    </row>
    <row r="958" spans="4:8" ht="12.75">
      <c r="D958" s="3"/>
      <c r="E958" s="8"/>
      <c r="F958" s="1"/>
      <c r="H958" s="13"/>
    </row>
    <row r="959" spans="4:8" ht="12.75">
      <c r="D959" s="3"/>
      <c r="E959" s="8"/>
      <c r="F959" s="1"/>
      <c r="H959" s="13"/>
    </row>
    <row r="960" spans="4:8" ht="12.75">
      <c r="D960" s="3"/>
      <c r="E960" s="8"/>
      <c r="F960" s="1"/>
      <c r="H960" s="13"/>
    </row>
    <row r="961" spans="4:8" ht="12.75">
      <c r="D961" s="3"/>
      <c r="E961" s="8"/>
      <c r="F961" s="1"/>
      <c r="H961" s="13"/>
    </row>
    <row r="962" spans="4:8" ht="12.75">
      <c r="D962" s="3"/>
      <c r="E962" s="8"/>
      <c r="F962" s="1"/>
      <c r="H962" s="13"/>
    </row>
    <row r="963" spans="4:8" ht="12.75">
      <c r="D963" s="3"/>
      <c r="E963" s="8"/>
      <c r="F963" s="1"/>
      <c r="H963" s="13"/>
    </row>
    <row r="964" spans="4:8" ht="12.75">
      <c r="D964" s="3"/>
      <c r="E964" s="8"/>
      <c r="F964" s="1"/>
      <c r="H964" s="13"/>
    </row>
    <row r="965" spans="4:8" ht="12.75">
      <c r="D965" s="3"/>
      <c r="E965" s="8"/>
      <c r="F965" s="1"/>
      <c r="H965" s="13"/>
    </row>
    <row r="966" spans="4:8" ht="12.75">
      <c r="D966" s="3"/>
      <c r="E966" s="8"/>
      <c r="F966" s="1"/>
      <c r="H966" s="13"/>
    </row>
    <row r="967" spans="4:8" ht="12.75">
      <c r="D967" s="3"/>
      <c r="E967" s="8"/>
      <c r="F967" s="1"/>
      <c r="H967" s="13"/>
    </row>
    <row r="968" spans="4:8" ht="12.75">
      <c r="D968" s="3"/>
      <c r="E968" s="8"/>
      <c r="F968" s="1"/>
      <c r="H968" s="13"/>
    </row>
    <row r="969" spans="4:8" ht="12.75">
      <c r="D969" s="3"/>
      <c r="E969" s="8"/>
      <c r="F969" s="1"/>
      <c r="H969" s="13"/>
    </row>
    <row r="970" spans="4:8" ht="12.75">
      <c r="D970" s="3"/>
      <c r="E970" s="8"/>
      <c r="F970" s="1"/>
      <c r="H970" s="13"/>
    </row>
    <row r="971" spans="4:8" ht="12.75">
      <c r="D971" s="3"/>
      <c r="E971" s="8"/>
      <c r="F971" s="1"/>
      <c r="H971" s="13"/>
    </row>
    <row r="972" spans="4:8" ht="12.75">
      <c r="D972" s="3"/>
      <c r="E972" s="8"/>
      <c r="F972" s="1"/>
      <c r="H972" s="13"/>
    </row>
    <row r="973" spans="4:8" ht="12.75">
      <c r="D973" s="3"/>
      <c r="E973" s="8"/>
      <c r="F973" s="1"/>
      <c r="H973" s="13"/>
    </row>
    <row r="974" spans="4:8" ht="12.75">
      <c r="D974" s="3"/>
      <c r="E974" s="8"/>
      <c r="F974" s="1"/>
      <c r="H974" s="13"/>
    </row>
    <row r="975" spans="4:8" ht="12.75">
      <c r="D975" s="3"/>
      <c r="E975" s="8"/>
      <c r="F975" s="1"/>
      <c r="H975" s="13"/>
    </row>
    <row r="976" spans="4:8" ht="12.75">
      <c r="D976" s="3"/>
      <c r="E976" s="8"/>
      <c r="F976" s="1"/>
      <c r="H976" s="13"/>
    </row>
    <row r="977" spans="4:8" ht="12.75">
      <c r="D977" s="3"/>
      <c r="E977" s="8"/>
      <c r="F977" s="1"/>
      <c r="H977" s="13"/>
    </row>
    <row r="978" spans="4:8" ht="12.75">
      <c r="D978" s="3"/>
      <c r="E978" s="8"/>
      <c r="F978" s="1"/>
      <c r="H978" s="13"/>
    </row>
    <row r="979" spans="4:8" ht="12.75">
      <c r="D979" s="3"/>
      <c r="E979" s="8"/>
      <c r="F979" s="1"/>
      <c r="H979" s="13"/>
    </row>
    <row r="980" spans="4:8" ht="12.75">
      <c r="D980" s="3"/>
      <c r="E980" s="8"/>
      <c r="F980" s="1"/>
      <c r="H980" s="13"/>
    </row>
    <row r="981" spans="4:8" ht="12.75">
      <c r="D981" s="3"/>
      <c r="E981" s="8"/>
      <c r="F981" s="1"/>
      <c r="H981" s="13"/>
    </row>
    <row r="982" spans="4:8" ht="12.75">
      <c r="D982" s="3"/>
      <c r="E982" s="8"/>
      <c r="F982" s="1"/>
      <c r="H982" s="13"/>
    </row>
    <row r="983" spans="4:8" ht="12.75">
      <c r="D983" s="3"/>
      <c r="E983" s="8"/>
      <c r="F983" s="1"/>
      <c r="H983" s="13"/>
    </row>
    <row r="984" spans="4:8" ht="12.75">
      <c r="D984" s="3"/>
      <c r="E984" s="8"/>
      <c r="F984" s="1"/>
      <c r="H984" s="13"/>
    </row>
    <row r="985" spans="4:8" ht="12.75">
      <c r="D985" s="3"/>
      <c r="E985" s="8"/>
      <c r="F985" s="1"/>
      <c r="H985" s="13"/>
    </row>
    <row r="986" spans="4:8" ht="12.75">
      <c r="D986" s="3"/>
      <c r="E986" s="8"/>
      <c r="F986" s="1"/>
      <c r="H986" s="13"/>
    </row>
    <row r="987" spans="4:8" ht="12.75">
      <c r="D987" s="3"/>
      <c r="E987" s="8"/>
      <c r="F987" s="1"/>
      <c r="H987" s="13"/>
    </row>
    <row r="988" spans="4:8" ht="12.75">
      <c r="D988" s="3"/>
      <c r="E988" s="8"/>
      <c r="F988" s="1"/>
      <c r="H988" s="13"/>
    </row>
    <row r="989" spans="4:8" ht="12.75">
      <c r="D989" s="3"/>
      <c r="E989" s="8"/>
      <c r="F989" s="1"/>
      <c r="H989" s="13"/>
    </row>
    <row r="990" spans="4:8" ht="12.75">
      <c r="D990" s="3"/>
      <c r="E990" s="8"/>
      <c r="F990" s="1"/>
      <c r="H990" s="13"/>
    </row>
    <row r="991" spans="4:8" ht="12.75">
      <c r="D991" s="3"/>
      <c r="E991" s="8"/>
      <c r="F991" s="1"/>
      <c r="H991" s="13"/>
    </row>
    <row r="992" spans="4:8" ht="12.75">
      <c r="D992" s="3"/>
      <c r="E992" s="8"/>
      <c r="F992" s="1"/>
      <c r="H992" s="13"/>
    </row>
    <row r="993" spans="4:8" ht="12.75">
      <c r="D993" s="3"/>
      <c r="E993" s="8"/>
      <c r="F993" s="1"/>
      <c r="H993" s="13"/>
    </row>
    <row r="994" spans="4:8" ht="12.75">
      <c r="D994" s="3"/>
      <c r="E994" s="8"/>
      <c r="F994" s="1"/>
      <c r="H994" s="13"/>
    </row>
    <row r="995" spans="4:8" ht="12.75">
      <c r="D995" s="3"/>
      <c r="E995" s="8"/>
      <c r="F995" s="1"/>
      <c r="H995" s="13"/>
    </row>
    <row r="996" spans="4:8" ht="12.75">
      <c r="D996" s="3"/>
      <c r="E996" s="8"/>
      <c r="F996" s="1"/>
      <c r="H996" s="13"/>
    </row>
    <row r="997" spans="4:8" ht="12.75">
      <c r="D997" s="3"/>
      <c r="E997" s="8"/>
      <c r="F997" s="1"/>
      <c r="H997" s="13"/>
    </row>
    <row r="998" spans="4:8" ht="12.75">
      <c r="D998" s="3"/>
      <c r="E998" s="8"/>
      <c r="F998" s="1"/>
      <c r="H998" s="13"/>
    </row>
    <row r="999" spans="4:8" ht="12.75">
      <c r="D999" s="3"/>
      <c r="E999" s="8"/>
      <c r="F999" s="1"/>
      <c r="H999" s="13"/>
    </row>
    <row r="1000" spans="4:8" ht="12.75">
      <c r="D1000" s="3"/>
      <c r="E1000" s="8"/>
      <c r="F1000" s="1"/>
      <c r="H1000" s="13"/>
    </row>
    <row r="1001" spans="4:8" ht="12.75">
      <c r="D1001" s="3"/>
      <c r="E1001" s="8"/>
      <c r="F1001" s="1"/>
      <c r="H1001" s="13"/>
    </row>
    <row r="1002" spans="4:8" ht="12.75">
      <c r="D1002" s="3"/>
      <c r="E1002" s="8"/>
      <c r="F1002" s="1"/>
      <c r="H1002" s="13"/>
    </row>
    <row r="1003" spans="4:8" ht="12.75">
      <c r="D1003" s="3"/>
      <c r="E1003" s="8"/>
      <c r="F1003" s="1"/>
      <c r="H1003" s="13"/>
    </row>
    <row r="1004" spans="4:8" ht="12.75">
      <c r="D1004" s="3"/>
      <c r="E1004" s="8"/>
      <c r="F1004" s="1"/>
      <c r="H1004" s="13"/>
    </row>
    <row r="1005" spans="4:8" ht="12.75">
      <c r="D1005" s="3"/>
      <c r="E1005" s="8"/>
      <c r="F1005" s="1"/>
      <c r="H1005" s="13"/>
    </row>
    <row r="1006" spans="4:8" ht="12.75">
      <c r="D1006" s="3"/>
      <c r="E1006" s="8"/>
      <c r="F1006" s="1"/>
      <c r="H1006" s="13"/>
    </row>
    <row r="1007" spans="4:8" ht="12.75">
      <c r="D1007" s="3"/>
      <c r="E1007" s="8"/>
      <c r="F1007" s="1"/>
      <c r="H1007" s="13"/>
    </row>
    <row r="1008" spans="4:8" ht="12.75">
      <c r="D1008" s="3"/>
      <c r="E1008" s="8"/>
      <c r="F1008" s="1"/>
      <c r="H1008" s="13"/>
    </row>
    <row r="1009" spans="4:8" ht="12.75">
      <c r="D1009" s="3"/>
      <c r="E1009" s="8"/>
      <c r="F1009" s="1"/>
      <c r="H1009" s="13"/>
    </row>
    <row r="1010" spans="4:8" ht="12.75">
      <c r="D1010" s="3"/>
      <c r="E1010" s="8"/>
      <c r="F1010" s="1"/>
      <c r="H1010" s="13"/>
    </row>
    <row r="1011" spans="4:8" ht="12.75">
      <c r="D1011" s="3"/>
      <c r="E1011" s="8"/>
      <c r="F1011" s="1"/>
      <c r="H1011" s="13"/>
    </row>
    <row r="1012" spans="4:8" ht="12.75">
      <c r="D1012" s="3"/>
      <c r="E1012" s="8"/>
      <c r="F1012" s="1"/>
      <c r="H1012" s="13"/>
    </row>
    <row r="1013" spans="4:8" ht="12.75">
      <c r="D1013" s="3"/>
      <c r="E1013" s="8"/>
      <c r="F1013" s="1"/>
      <c r="H1013" s="13"/>
    </row>
    <row r="1014" spans="4:8" ht="12.75">
      <c r="D1014" s="3"/>
      <c r="E1014" s="8"/>
      <c r="F1014" s="1"/>
      <c r="H1014" s="13"/>
    </row>
    <row r="1015" spans="4:8" ht="12.75">
      <c r="D1015" s="3"/>
      <c r="E1015" s="8"/>
      <c r="F1015" s="1"/>
      <c r="H1015" s="13"/>
    </row>
    <row r="1016" spans="4:8" ht="12.75">
      <c r="D1016" s="3"/>
      <c r="E1016" s="8"/>
      <c r="F1016" s="1"/>
      <c r="H1016" s="13"/>
    </row>
    <row r="1017" spans="4:8" ht="12.75">
      <c r="D1017" s="3"/>
      <c r="E1017" s="8"/>
      <c r="F1017" s="1"/>
      <c r="H1017" s="13"/>
    </row>
    <row r="1018" spans="4:8" ht="12.75">
      <c r="D1018" s="3"/>
      <c r="E1018" s="8"/>
      <c r="F1018" s="1"/>
      <c r="H1018" s="13"/>
    </row>
    <row r="1019" spans="4:8" ht="12.75">
      <c r="D1019" s="3"/>
      <c r="E1019" s="8"/>
      <c r="F1019" s="1"/>
      <c r="H1019" s="13"/>
    </row>
    <row r="1020" spans="4:8" ht="12.75">
      <c r="D1020" s="3"/>
      <c r="E1020" s="8"/>
      <c r="F1020" s="1"/>
      <c r="H1020" s="13"/>
    </row>
    <row r="1021" spans="4:8" ht="12.75">
      <c r="D1021" s="3"/>
      <c r="E1021" s="8"/>
      <c r="F1021" s="1"/>
      <c r="H1021" s="13"/>
    </row>
    <row r="1022" spans="4:8" ht="12.75">
      <c r="D1022" s="3"/>
      <c r="E1022" s="8"/>
      <c r="F1022" s="1"/>
      <c r="H1022" s="13"/>
    </row>
    <row r="1023" spans="4:8" ht="12.75">
      <c r="D1023" s="3"/>
      <c r="E1023" s="8"/>
      <c r="F1023" s="1"/>
      <c r="H1023" s="13"/>
    </row>
    <row r="1024" spans="4:8" ht="12.75">
      <c r="D1024" s="3"/>
      <c r="E1024" s="8"/>
      <c r="F1024" s="1"/>
      <c r="H1024" s="13"/>
    </row>
    <row r="1025" spans="4:8" ht="12.75">
      <c r="D1025" s="3"/>
      <c r="E1025" s="8"/>
      <c r="F1025" s="1"/>
      <c r="H1025" s="13"/>
    </row>
    <row r="1026" spans="4:8" ht="12.75">
      <c r="D1026" s="3"/>
      <c r="E1026" s="8"/>
      <c r="F1026" s="1"/>
      <c r="H1026" s="13"/>
    </row>
    <row r="1027" spans="4:8" ht="12.75">
      <c r="D1027" s="3"/>
      <c r="E1027" s="8"/>
      <c r="F1027" s="1"/>
      <c r="H1027" s="13"/>
    </row>
    <row r="1028" spans="4:8" ht="12.75">
      <c r="D1028" s="3"/>
      <c r="E1028" s="8"/>
      <c r="F1028" s="1"/>
      <c r="H1028" s="13"/>
    </row>
    <row r="1029" spans="4:8" ht="12.75">
      <c r="D1029" s="3"/>
      <c r="E1029" s="8"/>
      <c r="F1029" s="1"/>
      <c r="H1029" s="13"/>
    </row>
    <row r="1030" spans="4:8" ht="12.75">
      <c r="D1030" s="3"/>
      <c r="E1030" s="8"/>
      <c r="F1030" s="1"/>
      <c r="H1030" s="13"/>
    </row>
    <row r="1031" spans="4:8" ht="12.75">
      <c r="D1031" s="3"/>
      <c r="E1031" s="8"/>
      <c r="F1031" s="1"/>
      <c r="H1031" s="13"/>
    </row>
    <row r="1032" spans="4:8" ht="12.75">
      <c r="D1032" s="3"/>
      <c r="E1032" s="8"/>
      <c r="F1032" s="1"/>
      <c r="H1032" s="13"/>
    </row>
    <row r="1033" spans="4:8" ht="12.75">
      <c r="D1033" s="3"/>
      <c r="E1033" s="8"/>
      <c r="F1033" s="1"/>
      <c r="H1033" s="13"/>
    </row>
    <row r="1034" spans="4:8" ht="12.75">
      <c r="D1034" s="3"/>
      <c r="E1034" s="8"/>
      <c r="F1034" s="1"/>
      <c r="H1034" s="13"/>
    </row>
    <row r="1035" spans="4:8" ht="12.75">
      <c r="D1035" s="3"/>
      <c r="E1035" s="8"/>
      <c r="F1035" s="1"/>
      <c r="H1035" s="13"/>
    </row>
    <row r="1036" spans="4:8" ht="12.75">
      <c r="D1036" s="3"/>
      <c r="E1036" s="8"/>
      <c r="F1036" s="1"/>
      <c r="H1036" s="13"/>
    </row>
    <row r="1037" spans="4:8" ht="12.75">
      <c r="D1037" s="3"/>
      <c r="E1037" s="8"/>
      <c r="F1037" s="1"/>
      <c r="H1037" s="13"/>
    </row>
    <row r="1038" spans="4:8" ht="12.75">
      <c r="D1038" s="3"/>
      <c r="E1038" s="8"/>
      <c r="F1038" s="1"/>
      <c r="H1038" s="13"/>
    </row>
    <row r="1039" spans="4:8" ht="12.75">
      <c r="D1039" s="3"/>
      <c r="E1039" s="8"/>
      <c r="F1039" s="1"/>
      <c r="H1039" s="13"/>
    </row>
    <row r="1040" spans="4:8" ht="12.75">
      <c r="D1040" s="3"/>
      <c r="E1040" s="8"/>
      <c r="F1040" s="1"/>
      <c r="H1040" s="13"/>
    </row>
    <row r="1041" spans="4:8" ht="12.75">
      <c r="D1041" s="3"/>
      <c r="E1041" s="8"/>
      <c r="F1041" s="1"/>
      <c r="H1041" s="13"/>
    </row>
    <row r="1042" spans="4:8" ht="12.75">
      <c r="D1042" s="3"/>
      <c r="E1042" s="8"/>
      <c r="F1042" s="1"/>
      <c r="H1042" s="13"/>
    </row>
    <row r="1043" spans="4:8" ht="12.75">
      <c r="D1043" s="3"/>
      <c r="E1043" s="8"/>
      <c r="F1043" s="1"/>
      <c r="H1043" s="13"/>
    </row>
    <row r="1044" spans="4:8" ht="12.75">
      <c r="D1044" s="3"/>
      <c r="E1044" s="8"/>
      <c r="F1044" s="1"/>
      <c r="H1044" s="13"/>
    </row>
    <row r="1045" spans="4:8" ht="12.75">
      <c r="D1045" s="3"/>
      <c r="E1045" s="8"/>
      <c r="F1045" s="1"/>
      <c r="H1045" s="13"/>
    </row>
    <row r="1046" spans="4:8" ht="12.75">
      <c r="D1046" s="3"/>
      <c r="E1046" s="8"/>
      <c r="F1046" s="1"/>
      <c r="H1046" s="13"/>
    </row>
    <row r="1047" spans="4:8" ht="12.75">
      <c r="D1047" s="3"/>
      <c r="E1047" s="8"/>
      <c r="F1047" s="1"/>
      <c r="H1047" s="13"/>
    </row>
    <row r="1048" spans="4:8" ht="12.75">
      <c r="D1048" s="3"/>
      <c r="E1048" s="8"/>
      <c r="F1048" s="1"/>
      <c r="H1048" s="13"/>
    </row>
    <row r="1049" spans="4:8" ht="12.75">
      <c r="D1049" s="3"/>
      <c r="E1049" s="8"/>
      <c r="F1049" s="1"/>
      <c r="H1049" s="13"/>
    </row>
    <row r="1050" spans="4:8" ht="12.75">
      <c r="D1050" s="3"/>
      <c r="E1050" s="8"/>
      <c r="F1050" s="1"/>
      <c r="H1050" s="13"/>
    </row>
    <row r="1051" spans="4:8" ht="12.75">
      <c r="D1051" s="3"/>
      <c r="E1051" s="8"/>
      <c r="F1051" s="1"/>
      <c r="H1051" s="13"/>
    </row>
    <row r="1052" spans="4:8" ht="12.75">
      <c r="D1052" s="3"/>
      <c r="E1052" s="8"/>
      <c r="F1052" s="1"/>
      <c r="H1052" s="13"/>
    </row>
    <row r="1053" spans="4:8" ht="12.75">
      <c r="D1053" s="3"/>
      <c r="E1053" s="8"/>
      <c r="F1053" s="1"/>
      <c r="H1053" s="13"/>
    </row>
    <row r="1054" spans="4:8" ht="12.75">
      <c r="D1054" s="3"/>
      <c r="E1054" s="8"/>
      <c r="F1054" s="1"/>
      <c r="H1054" s="13"/>
    </row>
    <row r="1055" spans="4:8" ht="12.75">
      <c r="D1055" s="3"/>
      <c r="E1055" s="8"/>
      <c r="F1055" s="1"/>
      <c r="H1055" s="13"/>
    </row>
    <row r="1056" spans="4:8" ht="12.75">
      <c r="D1056" s="3"/>
      <c r="E1056" s="8"/>
      <c r="F1056" s="1"/>
      <c r="H1056" s="13"/>
    </row>
    <row r="1057" spans="4:8" ht="12.75">
      <c r="D1057" s="3"/>
      <c r="E1057" s="8"/>
      <c r="F1057" s="1"/>
      <c r="H1057" s="13"/>
    </row>
    <row r="1058" spans="4:8" ht="12.75">
      <c r="D1058" s="3"/>
      <c r="E1058" s="8"/>
      <c r="F1058" s="1"/>
      <c r="H1058" s="13"/>
    </row>
    <row r="1059" spans="4:8" ht="12.75">
      <c r="D1059" s="3"/>
      <c r="E1059" s="8"/>
      <c r="F1059" s="1"/>
      <c r="H1059" s="13"/>
    </row>
    <row r="1060" spans="4:8" ht="12.75">
      <c r="D1060" s="3"/>
      <c r="E1060" s="8"/>
      <c r="F1060" s="1"/>
      <c r="H1060" s="13"/>
    </row>
    <row r="1061" spans="4:8" ht="12.75">
      <c r="D1061" s="3"/>
      <c r="E1061" s="8"/>
      <c r="F1061" s="1"/>
      <c r="H1061" s="13"/>
    </row>
    <row r="1062" spans="4:8" ht="12.75">
      <c r="D1062" s="3"/>
      <c r="E1062" s="8"/>
      <c r="F1062" s="1"/>
      <c r="H1062" s="13"/>
    </row>
    <row r="1063" spans="4:8" ht="12.75">
      <c r="D1063" s="3"/>
      <c r="E1063" s="8"/>
      <c r="F1063" s="1"/>
      <c r="H1063" s="13"/>
    </row>
    <row r="1064" spans="4:8" ht="12.75">
      <c r="D1064" s="3"/>
      <c r="E1064" s="8"/>
      <c r="F1064" s="1"/>
      <c r="H1064" s="13"/>
    </row>
    <row r="1065" spans="4:8" ht="12.75">
      <c r="D1065" s="3"/>
      <c r="E1065" s="8"/>
      <c r="F1065" s="1"/>
      <c r="H1065" s="13"/>
    </row>
    <row r="1066" spans="4:8" ht="12.75">
      <c r="D1066" s="3"/>
      <c r="E1066" s="8"/>
      <c r="F1066" s="1"/>
      <c r="H1066" s="13"/>
    </row>
    <row r="1067" spans="4:8" ht="12.75">
      <c r="D1067" s="3"/>
      <c r="E1067" s="8"/>
      <c r="F1067" s="1"/>
      <c r="H1067" s="13"/>
    </row>
    <row r="1068" spans="4:8" ht="12.75">
      <c r="D1068" s="3"/>
      <c r="E1068" s="8"/>
      <c r="F1068" s="1"/>
      <c r="H1068" s="13"/>
    </row>
    <row r="1069" spans="4:8" ht="12.75">
      <c r="D1069" s="3"/>
      <c r="E1069" s="8"/>
      <c r="F1069" s="1"/>
      <c r="H1069" s="13"/>
    </row>
    <row r="1070" spans="4:8" ht="12.75">
      <c r="D1070" s="3"/>
      <c r="E1070" s="8"/>
      <c r="F1070" s="1"/>
      <c r="H1070" s="13"/>
    </row>
    <row r="1071" spans="4:8" ht="12.75">
      <c r="D1071" s="3"/>
      <c r="E1071" s="8"/>
      <c r="F1071" s="1"/>
      <c r="H1071" s="13"/>
    </row>
    <row r="1072" spans="4:8" ht="12.75">
      <c r="D1072" s="3"/>
      <c r="E1072" s="8"/>
      <c r="F1072" s="1"/>
      <c r="H1072" s="13"/>
    </row>
    <row r="1073" spans="4:8" ht="12.75">
      <c r="D1073" s="3"/>
      <c r="E1073" s="8"/>
      <c r="F1073" s="1"/>
      <c r="H1073" s="13"/>
    </row>
    <row r="1074" spans="4:8" ht="12.75">
      <c r="D1074" s="3"/>
      <c r="E1074" s="8"/>
      <c r="F1074" s="1"/>
      <c r="H1074" s="13"/>
    </row>
    <row r="1075" spans="4:8" ht="12.75">
      <c r="D1075" s="3"/>
      <c r="E1075" s="8"/>
      <c r="F1075" s="1"/>
      <c r="H1075" s="13"/>
    </row>
    <row r="1076" spans="4:8" ht="12.75">
      <c r="D1076" s="3"/>
      <c r="E1076" s="8"/>
      <c r="F1076" s="1"/>
      <c r="H1076" s="13"/>
    </row>
    <row r="1077" spans="4:8" ht="12.75">
      <c r="D1077" s="3"/>
      <c r="E1077" s="8"/>
      <c r="F1077" s="1"/>
      <c r="H1077" s="13"/>
    </row>
    <row r="1078" spans="4:8" ht="12.75">
      <c r="D1078" s="3"/>
      <c r="E1078" s="8"/>
      <c r="F1078" s="1"/>
      <c r="H1078" s="13"/>
    </row>
    <row r="1079" spans="4:8" ht="12.75">
      <c r="D1079" s="3"/>
      <c r="E1079" s="8"/>
      <c r="F1079" s="1"/>
      <c r="H1079" s="13"/>
    </row>
    <row r="1080" spans="4:8" ht="12.75">
      <c r="D1080" s="3"/>
      <c r="E1080" s="8"/>
      <c r="F1080" s="1"/>
      <c r="H1080" s="13"/>
    </row>
    <row r="1081" spans="4:8" ht="12.75">
      <c r="D1081" s="3"/>
      <c r="E1081" s="8"/>
      <c r="F1081" s="1"/>
      <c r="H1081" s="13"/>
    </row>
    <row r="1082" spans="4:8" ht="12.75">
      <c r="D1082" s="3"/>
      <c r="E1082" s="8"/>
      <c r="F1082" s="1"/>
      <c r="H1082" s="13"/>
    </row>
    <row r="1083" spans="4:8" ht="12.75">
      <c r="D1083" s="3"/>
      <c r="E1083" s="8"/>
      <c r="F1083" s="1"/>
      <c r="H1083" s="13"/>
    </row>
    <row r="1084" spans="4:8" ht="12.75">
      <c r="D1084" s="3"/>
      <c r="E1084" s="8"/>
      <c r="F1084" s="1"/>
      <c r="H1084" s="13"/>
    </row>
    <row r="1085" spans="4:8" ht="12.75">
      <c r="D1085" s="3"/>
      <c r="E1085" s="8"/>
      <c r="F1085" s="1"/>
      <c r="H1085" s="13"/>
    </row>
    <row r="1086" spans="4:8" ht="12.75">
      <c r="D1086" s="3"/>
      <c r="E1086" s="8"/>
      <c r="F1086" s="1"/>
      <c r="H1086" s="13"/>
    </row>
    <row r="1087" spans="4:8" ht="12.75">
      <c r="D1087" s="3"/>
      <c r="E1087" s="8"/>
      <c r="F1087" s="1"/>
      <c r="H1087" s="13"/>
    </row>
    <row r="1088" spans="4:8" ht="12.75">
      <c r="D1088" s="3"/>
      <c r="E1088" s="8"/>
      <c r="F1088" s="1"/>
      <c r="H1088" s="13"/>
    </row>
    <row r="1089" spans="4:8" ht="12.75">
      <c r="D1089" s="3"/>
      <c r="E1089" s="8"/>
      <c r="F1089" s="1"/>
      <c r="H1089" s="13"/>
    </row>
    <row r="1090" spans="4:8" ht="12.75">
      <c r="D1090" s="3"/>
      <c r="E1090" s="8"/>
      <c r="F1090" s="1"/>
      <c r="H1090" s="13"/>
    </row>
    <row r="1091" spans="4:8" ht="12.75">
      <c r="D1091" s="3"/>
      <c r="E1091" s="8"/>
      <c r="F1091" s="1"/>
      <c r="H1091" s="13"/>
    </row>
    <row r="1092" spans="4:8" ht="12.75">
      <c r="D1092" s="3"/>
      <c r="E1092" s="8"/>
      <c r="F1092" s="1"/>
      <c r="H1092" s="13"/>
    </row>
    <row r="1093" spans="4:8" ht="12.75">
      <c r="D1093" s="3"/>
      <c r="E1093" s="8"/>
      <c r="F1093" s="1"/>
      <c r="H1093" s="13"/>
    </row>
    <row r="1094" spans="4:8" ht="12.75">
      <c r="D1094" s="3"/>
      <c r="E1094" s="8"/>
      <c r="F1094" s="1"/>
      <c r="H1094" s="13"/>
    </row>
    <row r="1095" spans="4:8" ht="12.75">
      <c r="D1095" s="3"/>
      <c r="E1095" s="8"/>
      <c r="F1095" s="1"/>
      <c r="H1095" s="13"/>
    </row>
    <row r="1096" spans="4:8" ht="12.75">
      <c r="D1096" s="3"/>
      <c r="E1096" s="8"/>
      <c r="F1096" s="1"/>
      <c r="H1096" s="13"/>
    </row>
    <row r="1097" spans="4:8" ht="12.75">
      <c r="D1097" s="3"/>
      <c r="E1097" s="8"/>
      <c r="F1097" s="1"/>
      <c r="H1097" s="13"/>
    </row>
    <row r="1098" spans="4:8" ht="12.75">
      <c r="D1098" s="3"/>
      <c r="E1098" s="8"/>
      <c r="F1098" s="1"/>
      <c r="H1098" s="13"/>
    </row>
    <row r="1099" spans="4:8" ht="12.75">
      <c r="D1099" s="3"/>
      <c r="E1099" s="8"/>
      <c r="F1099" s="1"/>
      <c r="H1099" s="13"/>
    </row>
    <row r="1100" spans="4:8" ht="12.75">
      <c r="D1100" s="3"/>
      <c r="E1100" s="8"/>
      <c r="F1100" s="1"/>
      <c r="H1100" s="13"/>
    </row>
    <row r="1101" spans="4:8" ht="12.75">
      <c r="D1101" s="3"/>
      <c r="E1101" s="8"/>
      <c r="F1101" s="1"/>
      <c r="H1101" s="13"/>
    </row>
    <row r="1102" spans="4:8" ht="12.75">
      <c r="D1102" s="3"/>
      <c r="E1102" s="8"/>
      <c r="F1102" s="1"/>
      <c r="H1102" s="13"/>
    </row>
    <row r="1103" spans="4:8" ht="12.75">
      <c r="D1103" s="3"/>
      <c r="E1103" s="8"/>
      <c r="F1103" s="1"/>
      <c r="H1103" s="13"/>
    </row>
    <row r="1104" spans="4:8" ht="12.75">
      <c r="D1104" s="3"/>
      <c r="E1104" s="8"/>
      <c r="F1104" s="1"/>
      <c r="H1104" s="13"/>
    </row>
    <row r="1105" spans="4:8" ht="12.75">
      <c r="D1105" s="3"/>
      <c r="E1105" s="8"/>
      <c r="F1105" s="1"/>
      <c r="H1105" s="13"/>
    </row>
    <row r="1106" spans="4:8" ht="12.75">
      <c r="D1106" s="3"/>
      <c r="E1106" s="8"/>
      <c r="F1106" s="1"/>
      <c r="H1106" s="13"/>
    </row>
    <row r="1107" spans="4:8" ht="12.75">
      <c r="D1107" s="3"/>
      <c r="E1107" s="8"/>
      <c r="F1107" s="1"/>
      <c r="H1107" s="13"/>
    </row>
    <row r="1108" spans="4:8" ht="12.75">
      <c r="D1108" s="3"/>
      <c r="E1108" s="8"/>
      <c r="F1108" s="1"/>
      <c r="H1108" s="13"/>
    </row>
    <row r="1109" spans="4:8" ht="12.75">
      <c r="D1109" s="3"/>
      <c r="E1109" s="8"/>
      <c r="F1109" s="1"/>
      <c r="H1109" s="13"/>
    </row>
    <row r="1110" spans="4:8" ht="12.75">
      <c r="D1110" s="3"/>
      <c r="E1110" s="8"/>
      <c r="F1110" s="1"/>
      <c r="H1110" s="13"/>
    </row>
    <row r="1111" spans="4:8" ht="12.75">
      <c r="D1111" s="3"/>
      <c r="E1111" s="8"/>
      <c r="F1111" s="1"/>
      <c r="H1111" s="13"/>
    </row>
    <row r="1112" spans="4:8" ht="12.75">
      <c r="D1112" s="3"/>
      <c r="E1112" s="8"/>
      <c r="F1112" s="1"/>
      <c r="H1112" s="13"/>
    </row>
    <row r="1113" spans="4:8" ht="12.75">
      <c r="D1113" s="3"/>
      <c r="E1113" s="8"/>
      <c r="F1113" s="1"/>
      <c r="H1113" s="13"/>
    </row>
    <row r="1114" spans="4:8" ht="12.75">
      <c r="D1114" s="3"/>
      <c r="E1114" s="8"/>
      <c r="F1114" s="1"/>
      <c r="H1114" s="13"/>
    </row>
    <row r="1115" spans="4:8" ht="12.75">
      <c r="D1115" s="3"/>
      <c r="E1115" s="8"/>
      <c r="F1115" s="1"/>
      <c r="H1115" s="13"/>
    </row>
    <row r="1116" spans="4:8" ht="12.75">
      <c r="D1116" s="3"/>
      <c r="E1116" s="8"/>
      <c r="F1116" s="1"/>
      <c r="H1116" s="13"/>
    </row>
    <row r="1117" spans="4:8" ht="12.75">
      <c r="D1117" s="3"/>
      <c r="E1117" s="8"/>
      <c r="F1117" s="1"/>
      <c r="H1117" s="13"/>
    </row>
    <row r="1118" spans="4:8" ht="12.75">
      <c r="D1118" s="3"/>
      <c r="E1118" s="8"/>
      <c r="F1118" s="1"/>
      <c r="H1118" s="13"/>
    </row>
    <row r="1119" spans="4:8" ht="12.75">
      <c r="D1119" s="3"/>
      <c r="E1119" s="8"/>
      <c r="F1119" s="1"/>
      <c r="H1119" s="13"/>
    </row>
    <row r="1120" spans="4:8" ht="12.75">
      <c r="D1120" s="3"/>
      <c r="E1120" s="8"/>
      <c r="F1120" s="1"/>
      <c r="H1120" s="13"/>
    </row>
    <row r="1121" spans="4:8" ht="12.75">
      <c r="D1121" s="3"/>
      <c r="E1121" s="8"/>
      <c r="F1121" s="1"/>
      <c r="H1121" s="13"/>
    </row>
    <row r="1122" spans="4:8" ht="12.75">
      <c r="D1122" s="3"/>
      <c r="E1122" s="8"/>
      <c r="F1122" s="1"/>
      <c r="H1122" s="13"/>
    </row>
    <row r="1123" spans="4:8" ht="12.75">
      <c r="D1123" s="3"/>
      <c r="E1123" s="8"/>
      <c r="F1123" s="1"/>
      <c r="H1123" s="13"/>
    </row>
    <row r="1124" spans="4:8" ht="12.75">
      <c r="D1124" s="3"/>
      <c r="E1124" s="8"/>
      <c r="F1124" s="1"/>
      <c r="H1124" s="13"/>
    </row>
    <row r="1125" spans="4:8" ht="12.75">
      <c r="D1125" s="3"/>
      <c r="E1125" s="8"/>
      <c r="F1125" s="1"/>
      <c r="H1125" s="13"/>
    </row>
    <row r="1126" spans="4:8" ht="12.75">
      <c r="D1126" s="3"/>
      <c r="E1126" s="8"/>
      <c r="F1126" s="1"/>
      <c r="H1126" s="13"/>
    </row>
    <row r="1127" spans="4:8" ht="12.75">
      <c r="D1127" s="3"/>
      <c r="E1127" s="8"/>
      <c r="F1127" s="1"/>
      <c r="H1127" s="13"/>
    </row>
    <row r="1128" spans="4:8" ht="12.75">
      <c r="D1128" s="3"/>
      <c r="E1128" s="8"/>
      <c r="F1128" s="1"/>
      <c r="H1128" s="13"/>
    </row>
    <row r="1129" spans="4:8" ht="12.75">
      <c r="D1129" s="3"/>
      <c r="E1129" s="8"/>
      <c r="F1129" s="1"/>
      <c r="H1129" s="13"/>
    </row>
    <row r="1130" spans="4:8" ht="12.75">
      <c r="D1130" s="3"/>
      <c r="E1130" s="8"/>
      <c r="F1130" s="1"/>
      <c r="H1130" s="13"/>
    </row>
    <row r="1131" spans="4:8" ht="12.75">
      <c r="D1131" s="3"/>
      <c r="E1131" s="8"/>
      <c r="F1131" s="1"/>
      <c r="H1131" s="13"/>
    </row>
    <row r="1132" spans="4:8" ht="12.75">
      <c r="D1132" s="3"/>
      <c r="E1132" s="8"/>
      <c r="F1132" s="1"/>
      <c r="H1132" s="13"/>
    </row>
    <row r="1133" spans="4:8" ht="12.75">
      <c r="D1133" s="3"/>
      <c r="E1133" s="8"/>
      <c r="F1133" s="1"/>
      <c r="H1133" s="13"/>
    </row>
    <row r="1134" spans="4:8" ht="12.75">
      <c r="D1134" s="3"/>
      <c r="E1134" s="8"/>
      <c r="F1134" s="1"/>
      <c r="H1134" s="13"/>
    </row>
    <row r="1135" spans="4:8" ht="12.75">
      <c r="D1135" s="3"/>
      <c r="E1135" s="8"/>
      <c r="F1135" s="1"/>
      <c r="H1135" s="13"/>
    </row>
    <row r="1136" spans="4:8" ht="12.75">
      <c r="D1136" s="3"/>
      <c r="E1136" s="8"/>
      <c r="F1136" s="1"/>
      <c r="H1136" s="13"/>
    </row>
    <row r="1137" spans="4:8" ht="12.75">
      <c r="D1137" s="3"/>
      <c r="E1137" s="8"/>
      <c r="F1137" s="1"/>
      <c r="H1137" s="13"/>
    </row>
    <row r="1138" spans="4:8" ht="12.75">
      <c r="D1138" s="3"/>
      <c r="E1138" s="8"/>
      <c r="F1138" s="1"/>
      <c r="H1138" s="13"/>
    </row>
    <row r="1139" spans="4:8" ht="12.75">
      <c r="D1139" s="3"/>
      <c r="E1139" s="8"/>
      <c r="F1139" s="1"/>
      <c r="H1139" s="13"/>
    </row>
    <row r="1140" spans="4:8" ht="12.75">
      <c r="D1140" s="3"/>
      <c r="E1140" s="8"/>
      <c r="F1140" s="1"/>
      <c r="H1140" s="13"/>
    </row>
    <row r="1141" spans="4:8" ht="12.75">
      <c r="D1141" s="3"/>
      <c r="E1141" s="8"/>
      <c r="F1141" s="1"/>
      <c r="H1141" s="13"/>
    </row>
    <row r="1142" spans="4:8" ht="12.75">
      <c r="D1142" s="3"/>
      <c r="E1142" s="8"/>
      <c r="F1142" s="1"/>
      <c r="H1142" s="13"/>
    </row>
    <row r="1143" spans="4:8" ht="12.75">
      <c r="D1143" s="3"/>
      <c r="E1143" s="8"/>
      <c r="F1143" s="1"/>
      <c r="H1143" s="13"/>
    </row>
    <row r="1144" spans="4:8" ht="12.75">
      <c r="D1144" s="3"/>
      <c r="E1144" s="8"/>
      <c r="F1144" s="1"/>
      <c r="H1144" s="13"/>
    </row>
    <row r="1145" spans="4:8" ht="12.75">
      <c r="D1145" s="3"/>
      <c r="E1145" s="8"/>
      <c r="F1145" s="1"/>
      <c r="H1145" s="13"/>
    </row>
    <row r="1146" spans="4:8" ht="12.75">
      <c r="D1146" s="3"/>
      <c r="E1146" s="8"/>
      <c r="F1146" s="1"/>
      <c r="H1146" s="13"/>
    </row>
    <row r="1147" spans="4:8" ht="12.75">
      <c r="D1147" s="3"/>
      <c r="E1147" s="8"/>
      <c r="F1147" s="1"/>
      <c r="H1147" s="13"/>
    </row>
    <row r="1148" spans="4:8" ht="12.75">
      <c r="D1148" s="3"/>
      <c r="E1148" s="8"/>
      <c r="F1148" s="1"/>
      <c r="H1148" s="13"/>
    </row>
    <row r="1149" spans="4:8" ht="12.75">
      <c r="D1149" s="3"/>
      <c r="E1149" s="8"/>
      <c r="F1149" s="1"/>
      <c r="H1149" s="13"/>
    </row>
    <row r="1150" spans="4:8" ht="12.75">
      <c r="D1150" s="3"/>
      <c r="E1150" s="8"/>
      <c r="F1150" s="1"/>
      <c r="H1150" s="13"/>
    </row>
    <row r="1151" spans="4:8" ht="12.75">
      <c r="D1151" s="3"/>
      <c r="E1151" s="8"/>
      <c r="F1151" s="1"/>
      <c r="H1151" s="13"/>
    </row>
    <row r="1152" spans="4:8" ht="12.75">
      <c r="D1152" s="3"/>
      <c r="E1152" s="8"/>
      <c r="F1152" s="1"/>
      <c r="H1152" s="13"/>
    </row>
    <row r="1153" spans="4:8" ht="12.75">
      <c r="D1153" s="3"/>
      <c r="E1153" s="8"/>
      <c r="F1153" s="1"/>
      <c r="H1153" s="13"/>
    </row>
    <row r="1154" spans="4:8" ht="12.75">
      <c r="D1154" s="3"/>
      <c r="E1154" s="8"/>
      <c r="F1154" s="1"/>
      <c r="H1154" s="13"/>
    </row>
    <row r="1155" spans="4:8" ht="12.75">
      <c r="D1155" s="3"/>
      <c r="E1155" s="8"/>
      <c r="F1155" s="1"/>
      <c r="H1155" s="13"/>
    </row>
    <row r="1156" spans="4:8" ht="12.75">
      <c r="D1156" s="3"/>
      <c r="E1156" s="8"/>
      <c r="F1156" s="1"/>
      <c r="H1156" s="13"/>
    </row>
    <row r="1157" spans="4:8" ht="12.75">
      <c r="D1157" s="3"/>
      <c r="E1157" s="8"/>
      <c r="F1157" s="1"/>
      <c r="H1157" s="13"/>
    </row>
    <row r="1158" spans="4:8" ht="12.75">
      <c r="D1158" s="3"/>
      <c r="E1158" s="8"/>
      <c r="F1158" s="1"/>
      <c r="H1158" s="13"/>
    </row>
    <row r="1159" spans="4:8" ht="12.75">
      <c r="D1159" s="3"/>
      <c r="E1159" s="8"/>
      <c r="F1159" s="1"/>
      <c r="H1159" s="13"/>
    </row>
    <row r="1160" spans="4:8" ht="12.75">
      <c r="D1160" s="3"/>
      <c r="E1160" s="8"/>
      <c r="F1160" s="1"/>
      <c r="H1160" s="13"/>
    </row>
    <row r="1161" spans="4:8" ht="12.75">
      <c r="D1161" s="3"/>
      <c r="E1161" s="8"/>
      <c r="F1161" s="1"/>
      <c r="H1161" s="13"/>
    </row>
    <row r="1162" spans="4:8" ht="12.75">
      <c r="D1162" s="3"/>
      <c r="E1162" s="8"/>
      <c r="F1162" s="1"/>
      <c r="H1162" s="13"/>
    </row>
    <row r="1163" spans="4:8" ht="12.75">
      <c r="D1163" s="3"/>
      <c r="E1163" s="8"/>
      <c r="F1163" s="1"/>
      <c r="H1163" s="13"/>
    </row>
    <row r="1164" spans="4:8" ht="12.75">
      <c r="D1164" s="3"/>
      <c r="E1164" s="8"/>
      <c r="F1164" s="1"/>
      <c r="H1164" s="13"/>
    </row>
    <row r="1165" spans="4:8" ht="12.75">
      <c r="D1165" s="3"/>
      <c r="E1165" s="8"/>
      <c r="F1165" s="1"/>
      <c r="H1165" s="13"/>
    </row>
    <row r="1166" spans="4:8" ht="12.75">
      <c r="D1166" s="3"/>
      <c r="E1166" s="8"/>
      <c r="F1166" s="1"/>
      <c r="H1166" s="13"/>
    </row>
    <row r="1167" spans="4:8" ht="12.75">
      <c r="D1167" s="3"/>
      <c r="E1167" s="8"/>
      <c r="F1167" s="1"/>
      <c r="H1167" s="13"/>
    </row>
    <row r="1168" spans="4:8" ht="12.75">
      <c r="D1168" s="3"/>
      <c r="E1168" s="8"/>
      <c r="F1168" s="1"/>
      <c r="H1168" s="13"/>
    </row>
    <row r="1169" spans="4:8" ht="12.75">
      <c r="D1169" s="3"/>
      <c r="E1169" s="8"/>
      <c r="F1169" s="1"/>
      <c r="H1169" s="13"/>
    </row>
    <row r="1170" spans="4:8" ht="12.75">
      <c r="D1170" s="3"/>
      <c r="E1170" s="8"/>
      <c r="F1170" s="1"/>
      <c r="H1170" s="13"/>
    </row>
    <row r="1171" spans="4:8" ht="12.75">
      <c r="D1171" s="3"/>
      <c r="E1171" s="8"/>
      <c r="F1171" s="1"/>
      <c r="H1171" s="13"/>
    </row>
    <row r="1172" spans="4:8" ht="12.75">
      <c r="D1172" s="3"/>
      <c r="E1172" s="8"/>
      <c r="F1172" s="1"/>
      <c r="H1172" s="13"/>
    </row>
    <row r="1173" spans="4:8" ht="12.75">
      <c r="D1173" s="3"/>
      <c r="E1173" s="8"/>
      <c r="F1173" s="1"/>
      <c r="H1173" s="13"/>
    </row>
    <row r="1174" spans="4:8" ht="12.75">
      <c r="D1174" s="3"/>
      <c r="E1174" s="8"/>
      <c r="F1174" s="1"/>
      <c r="H1174" s="13"/>
    </row>
    <row r="1175" spans="4:8" ht="12.75">
      <c r="D1175" s="3"/>
      <c r="E1175" s="8"/>
      <c r="F1175" s="1"/>
      <c r="H1175" s="13"/>
    </row>
    <row r="1176" spans="4:8" ht="12.75">
      <c r="D1176" s="3"/>
      <c r="E1176" s="8"/>
      <c r="F1176" s="1"/>
      <c r="H1176" s="13"/>
    </row>
    <row r="1177" spans="4:8" ht="12.75">
      <c r="D1177" s="3"/>
      <c r="E1177" s="8"/>
      <c r="F1177" s="1"/>
      <c r="H1177" s="13"/>
    </row>
    <row r="1178" spans="4:8" ht="12.75">
      <c r="D1178" s="3"/>
      <c r="E1178" s="8"/>
      <c r="F1178" s="1"/>
      <c r="H1178" s="13"/>
    </row>
    <row r="1179" spans="4:8" ht="12.75">
      <c r="D1179" s="3"/>
      <c r="E1179" s="8"/>
      <c r="F1179" s="1"/>
      <c r="H1179" s="13"/>
    </row>
    <row r="1180" spans="4:8" ht="12.75">
      <c r="D1180" s="3"/>
      <c r="E1180" s="8"/>
      <c r="F1180" s="1"/>
      <c r="H1180" s="13"/>
    </row>
    <row r="1181" spans="4:8" ht="12.75">
      <c r="D1181" s="3"/>
      <c r="E1181" s="8"/>
      <c r="F1181" s="1"/>
      <c r="H1181" s="13"/>
    </row>
    <row r="1182" spans="4:8" ht="12.75">
      <c r="D1182" s="3"/>
      <c r="E1182" s="8"/>
      <c r="F1182" s="1"/>
      <c r="H1182" s="13"/>
    </row>
    <row r="1183" spans="4:8" ht="12.75">
      <c r="D1183" s="3"/>
      <c r="E1183" s="8"/>
      <c r="F1183" s="1"/>
      <c r="H1183" s="13"/>
    </row>
    <row r="1184" spans="4:8" ht="12.75">
      <c r="D1184" s="3"/>
      <c r="E1184" s="8"/>
      <c r="F1184" s="1"/>
      <c r="H1184" s="13"/>
    </row>
    <row r="1185" spans="4:8" ht="12.75">
      <c r="D1185" s="3"/>
      <c r="E1185" s="8"/>
      <c r="F1185" s="1"/>
      <c r="H1185" s="13"/>
    </row>
    <row r="1186" spans="4:8" ht="12.75">
      <c r="D1186" s="3"/>
      <c r="E1186" s="8"/>
      <c r="F1186" s="1"/>
      <c r="H1186" s="13"/>
    </row>
    <row r="1187" spans="4:8" ht="12.75">
      <c r="D1187" s="3"/>
      <c r="E1187" s="8"/>
      <c r="F1187" s="1"/>
      <c r="H1187" s="13"/>
    </row>
    <row r="1188" spans="4:8" ht="12.75">
      <c r="D1188" s="3"/>
      <c r="E1188" s="8"/>
      <c r="F1188" s="1"/>
      <c r="H1188" s="13"/>
    </row>
    <row r="1189" spans="4:8" ht="12.75">
      <c r="D1189" s="3"/>
      <c r="E1189" s="8"/>
      <c r="F1189" s="1"/>
      <c r="H1189" s="13"/>
    </row>
    <row r="1190" spans="4:8" ht="12.75">
      <c r="D1190" s="3"/>
      <c r="E1190" s="8"/>
      <c r="F1190" s="1"/>
      <c r="H1190" s="13"/>
    </row>
    <row r="1191" spans="4:8" ht="12.75">
      <c r="D1191" s="3"/>
      <c r="E1191" s="8"/>
      <c r="F1191" s="1"/>
      <c r="H1191" s="13"/>
    </row>
    <row r="1192" spans="4:8" ht="12.75">
      <c r="D1192" s="3"/>
      <c r="E1192" s="8"/>
      <c r="F1192" s="1"/>
      <c r="H1192" s="13"/>
    </row>
    <row r="1193" spans="4:8" ht="12.75">
      <c r="D1193" s="3"/>
      <c r="E1193" s="8"/>
      <c r="F1193" s="1"/>
      <c r="H1193" s="13"/>
    </row>
    <row r="1194" spans="4:8" ht="12.75">
      <c r="D1194" s="3"/>
      <c r="E1194" s="8"/>
      <c r="F1194" s="1"/>
      <c r="H1194" s="13"/>
    </row>
    <row r="1195" spans="4:8" ht="12.75">
      <c r="D1195" s="3"/>
      <c r="E1195" s="8"/>
      <c r="F1195" s="1"/>
      <c r="H1195" s="13"/>
    </row>
    <row r="1196" spans="4:8" ht="12.75">
      <c r="D1196" s="3"/>
      <c r="E1196" s="8"/>
      <c r="F1196" s="1"/>
      <c r="H1196" s="13"/>
    </row>
    <row r="1197" spans="4:8" ht="12.75">
      <c r="D1197" s="3"/>
      <c r="E1197" s="8"/>
      <c r="F1197" s="1"/>
      <c r="H1197" s="13"/>
    </row>
    <row r="1198" spans="4:8" ht="12.75">
      <c r="D1198" s="3"/>
      <c r="E1198" s="8"/>
      <c r="F1198" s="1"/>
      <c r="H1198" s="13"/>
    </row>
    <row r="1199" spans="4:8" ht="12.75">
      <c r="D1199" s="3"/>
      <c r="E1199" s="8"/>
      <c r="F1199" s="1"/>
      <c r="H1199" s="13"/>
    </row>
    <row r="1200" spans="4:8" ht="12.75">
      <c r="D1200" s="3"/>
      <c r="E1200" s="8"/>
      <c r="F1200" s="1"/>
      <c r="H1200" s="13"/>
    </row>
    <row r="1201" spans="4:8" ht="12.75">
      <c r="D1201" s="3"/>
      <c r="E1201" s="8"/>
      <c r="F1201" s="1"/>
      <c r="H1201" s="13"/>
    </row>
    <row r="1202" spans="4:8" ht="12.75">
      <c r="D1202" s="3"/>
      <c r="E1202" s="8"/>
      <c r="F1202" s="1"/>
      <c r="H1202" s="13"/>
    </row>
    <row r="1203" spans="4:8" ht="12.75">
      <c r="D1203" s="3"/>
      <c r="E1203" s="8"/>
      <c r="F1203" s="1"/>
      <c r="H1203" s="13"/>
    </row>
    <row r="1204" spans="4:8" ht="12.75">
      <c r="D1204" s="3"/>
      <c r="E1204" s="8"/>
      <c r="F1204" s="1"/>
      <c r="H1204" s="13"/>
    </row>
    <row r="1205" spans="4:8" ht="12.75">
      <c r="D1205" s="3"/>
      <c r="E1205" s="8"/>
      <c r="F1205" s="1"/>
      <c r="H1205" s="13"/>
    </row>
    <row r="1206" spans="4:8" ht="12.75">
      <c r="D1206" s="3"/>
      <c r="E1206" s="8"/>
      <c r="F1206" s="1"/>
      <c r="H1206" s="13"/>
    </row>
    <row r="1207" spans="4:8" ht="12.75">
      <c r="D1207" s="3"/>
      <c r="E1207" s="8"/>
      <c r="F1207" s="1"/>
      <c r="H1207" s="13"/>
    </row>
    <row r="1208" spans="4:8" ht="12.75">
      <c r="D1208" s="3"/>
      <c r="E1208" s="8"/>
      <c r="F1208" s="1"/>
      <c r="H1208" s="13"/>
    </row>
    <row r="1209" spans="4:8" ht="12.75">
      <c r="D1209" s="3"/>
      <c r="E1209" s="8"/>
      <c r="F1209" s="1"/>
      <c r="H1209" s="13"/>
    </row>
    <row r="1210" spans="4:8" ht="12.75">
      <c r="D1210" s="3"/>
      <c r="E1210" s="8"/>
      <c r="F1210" s="1"/>
      <c r="H1210" s="13"/>
    </row>
    <row r="1211" spans="4:8" ht="12.75">
      <c r="D1211" s="3"/>
      <c r="E1211" s="8"/>
      <c r="F1211" s="1"/>
      <c r="H1211" s="13"/>
    </row>
    <row r="1212" spans="4:8" ht="12.75">
      <c r="D1212" s="3"/>
      <c r="E1212" s="8"/>
      <c r="F1212" s="1"/>
      <c r="H1212" s="13"/>
    </row>
    <row r="1213" spans="4:8" ht="12.75">
      <c r="D1213" s="3"/>
      <c r="E1213" s="8"/>
      <c r="F1213" s="1"/>
      <c r="H1213" s="13"/>
    </row>
    <row r="1214" spans="4:8" ht="12.75">
      <c r="D1214" s="3"/>
      <c r="E1214" s="8"/>
      <c r="F1214" s="1"/>
      <c r="H1214" s="13"/>
    </row>
    <row r="1215" spans="4:8" ht="12.75">
      <c r="D1215" s="3"/>
      <c r="E1215" s="8"/>
      <c r="F1215" s="1"/>
      <c r="H1215" s="13"/>
    </row>
    <row r="1216" spans="4:8" ht="12.75">
      <c r="D1216" s="3"/>
      <c r="E1216" s="8"/>
      <c r="F1216" s="1"/>
      <c r="H1216" s="13"/>
    </row>
    <row r="1217" spans="4:8" ht="12.75">
      <c r="D1217" s="3"/>
      <c r="E1217" s="8"/>
      <c r="F1217" s="1"/>
      <c r="H1217" s="13"/>
    </row>
    <row r="1218" spans="4:8" ht="12.75">
      <c r="D1218" s="3"/>
      <c r="E1218" s="8"/>
      <c r="F1218" s="1"/>
      <c r="H1218" s="13"/>
    </row>
    <row r="1219" spans="4:8" ht="12.75">
      <c r="D1219" s="3"/>
      <c r="E1219" s="8"/>
      <c r="F1219" s="1"/>
      <c r="H1219" s="13"/>
    </row>
    <row r="1220" spans="4:8" ht="12.75">
      <c r="D1220" s="3"/>
      <c r="E1220" s="8"/>
      <c r="F1220" s="1"/>
      <c r="H1220" s="13"/>
    </row>
    <row r="1221" spans="4:8" ht="12.75">
      <c r="D1221" s="3"/>
      <c r="E1221" s="8"/>
      <c r="F1221" s="1"/>
      <c r="H1221" s="13"/>
    </row>
    <row r="1222" spans="4:8" ht="12.75">
      <c r="D1222" s="3"/>
      <c r="E1222" s="8"/>
      <c r="F1222" s="1"/>
      <c r="H1222" s="13"/>
    </row>
    <row r="1223" spans="4:8" ht="12.75">
      <c r="D1223" s="3"/>
      <c r="E1223" s="8"/>
      <c r="F1223" s="1"/>
      <c r="H1223" s="13"/>
    </row>
    <row r="1224" spans="4:8" ht="12.75">
      <c r="D1224" s="3"/>
      <c r="E1224" s="8"/>
      <c r="F1224" s="1"/>
      <c r="H1224" s="13"/>
    </row>
    <row r="1225" spans="4:8" ht="12.75">
      <c r="D1225" s="3"/>
      <c r="E1225" s="8"/>
      <c r="F1225" s="1"/>
      <c r="H1225" s="13"/>
    </row>
    <row r="1226" spans="4:8" ht="12.75">
      <c r="D1226" s="3"/>
      <c r="E1226" s="8"/>
      <c r="F1226" s="1"/>
      <c r="H1226" s="13"/>
    </row>
    <row r="1227" spans="4:8" ht="12.75">
      <c r="D1227" s="3"/>
      <c r="E1227" s="8"/>
      <c r="F1227" s="1"/>
      <c r="H1227" s="13"/>
    </row>
    <row r="1228" spans="4:8" ht="12.75">
      <c r="D1228" s="3"/>
      <c r="E1228" s="8"/>
      <c r="F1228" s="1"/>
      <c r="H1228" s="13"/>
    </row>
    <row r="1229" spans="4:8" ht="12.75">
      <c r="D1229" s="3"/>
      <c r="E1229" s="8"/>
      <c r="F1229" s="1"/>
      <c r="H1229" s="13"/>
    </row>
    <row r="1230" spans="4:8" ht="12.75">
      <c r="D1230" s="3"/>
      <c r="E1230" s="8"/>
      <c r="F1230" s="1"/>
      <c r="H1230" s="13"/>
    </row>
    <row r="1231" spans="4:8" ht="12.75">
      <c r="D1231" s="3"/>
      <c r="E1231" s="8"/>
      <c r="F1231" s="1"/>
      <c r="H1231" s="13"/>
    </row>
    <row r="1232" spans="4:8" ht="12.75">
      <c r="D1232" s="3"/>
      <c r="E1232" s="8"/>
      <c r="F1232" s="1"/>
      <c r="H1232" s="13"/>
    </row>
    <row r="1233" spans="4:8" ht="12.75">
      <c r="D1233" s="3"/>
      <c r="E1233" s="8"/>
      <c r="F1233" s="1"/>
      <c r="H1233" s="13"/>
    </row>
    <row r="1234" spans="4:8" ht="12.75">
      <c r="D1234" s="3"/>
      <c r="E1234" s="8"/>
      <c r="F1234" s="1"/>
      <c r="H1234" s="13"/>
    </row>
    <row r="1235" spans="4:8" ht="12.75">
      <c r="D1235" s="3"/>
      <c r="E1235" s="8"/>
      <c r="F1235" s="1"/>
      <c r="H1235" s="13"/>
    </row>
    <row r="1236" spans="4:8" ht="12.75">
      <c r="D1236" s="3"/>
      <c r="E1236" s="8"/>
      <c r="F1236" s="1"/>
      <c r="H1236" s="13"/>
    </row>
    <row r="1237" spans="4:8" ht="12.75">
      <c r="D1237" s="3"/>
      <c r="E1237" s="8"/>
      <c r="F1237" s="1"/>
      <c r="H1237" s="13"/>
    </row>
    <row r="1238" spans="4:8" ht="12.75">
      <c r="D1238" s="3"/>
      <c r="E1238" s="8"/>
      <c r="F1238" s="1"/>
      <c r="H1238" s="13"/>
    </row>
    <row r="1239" spans="4:8" ht="12.75">
      <c r="D1239" s="3"/>
      <c r="E1239" s="8"/>
      <c r="F1239" s="1"/>
      <c r="H1239" s="13"/>
    </row>
    <row r="1240" spans="4:8" ht="12.75">
      <c r="D1240" s="3"/>
      <c r="E1240" s="8"/>
      <c r="F1240" s="1"/>
      <c r="H1240" s="13"/>
    </row>
    <row r="1241" spans="4:8" ht="12.75">
      <c r="D1241" s="3"/>
      <c r="E1241" s="8"/>
      <c r="F1241" s="1"/>
      <c r="H1241" s="13"/>
    </row>
    <row r="1242" spans="4:8" ht="12.75">
      <c r="D1242" s="3"/>
      <c r="E1242" s="8"/>
      <c r="F1242" s="1"/>
      <c r="H1242" s="13"/>
    </row>
    <row r="1243" spans="4:8" ht="12.75">
      <c r="D1243" s="3"/>
      <c r="E1243" s="8"/>
      <c r="F1243" s="1"/>
      <c r="H1243" s="13"/>
    </row>
    <row r="1244" spans="4:8" ht="12.75">
      <c r="D1244" s="3"/>
      <c r="E1244" s="8"/>
      <c r="F1244" s="1"/>
      <c r="H1244" s="13"/>
    </row>
    <row r="1245" spans="4:8" ht="12.75">
      <c r="D1245" s="3"/>
      <c r="E1245" s="8"/>
      <c r="F1245" s="1"/>
      <c r="H1245" s="13"/>
    </row>
    <row r="1246" spans="4:8" ht="12.75">
      <c r="D1246" s="3"/>
      <c r="E1246" s="8"/>
      <c r="F1246" s="1"/>
      <c r="H1246" s="13"/>
    </row>
    <row r="1247" spans="4:8" ht="12.75">
      <c r="D1247" s="3"/>
      <c r="E1247" s="8"/>
      <c r="F1247" s="1"/>
      <c r="H1247" s="13"/>
    </row>
    <row r="1248" spans="4:8" ht="12.75">
      <c r="D1248" s="3"/>
      <c r="E1248" s="8"/>
      <c r="F1248" s="1"/>
      <c r="H1248" s="13"/>
    </row>
    <row r="1249" spans="4:8" ht="12.75">
      <c r="D1249" s="3"/>
      <c r="E1249" s="8"/>
      <c r="F1249" s="1"/>
      <c r="H1249" s="13"/>
    </row>
    <row r="1250" spans="4:8" ht="12.75">
      <c r="D1250" s="3"/>
      <c r="E1250" s="8"/>
      <c r="F1250" s="1"/>
      <c r="H1250" s="13"/>
    </row>
    <row r="1251" spans="4:8" ht="12.75">
      <c r="D1251" s="3"/>
      <c r="E1251" s="8"/>
      <c r="F1251" s="1"/>
      <c r="H1251" s="13"/>
    </row>
    <row r="1252" spans="4:8" ht="12.75">
      <c r="D1252" s="3"/>
      <c r="E1252" s="8"/>
      <c r="F1252" s="1"/>
      <c r="H1252" s="13"/>
    </row>
    <row r="1253" spans="4:8" ht="12.75">
      <c r="D1253" s="3"/>
      <c r="E1253" s="8"/>
      <c r="F1253" s="1"/>
      <c r="H1253" s="13"/>
    </row>
    <row r="1254" spans="4:8" ht="12.75">
      <c r="D1254" s="3"/>
      <c r="E1254" s="8"/>
      <c r="F1254" s="1"/>
      <c r="H1254" s="13"/>
    </row>
    <row r="1255" spans="4:8" ht="12.75">
      <c r="D1255" s="3"/>
      <c r="E1255" s="8"/>
      <c r="F1255" s="1"/>
      <c r="H1255" s="13"/>
    </row>
    <row r="1256" spans="4:8" ht="12.75">
      <c r="D1256" s="3"/>
      <c r="E1256" s="8"/>
      <c r="F1256" s="1"/>
      <c r="H1256" s="13"/>
    </row>
    <row r="1257" spans="4:8" ht="12.75">
      <c r="D1257" s="3"/>
      <c r="E1257" s="8"/>
      <c r="F1257" s="1"/>
      <c r="H1257" s="13"/>
    </row>
    <row r="1258" spans="4:8" ht="12.75">
      <c r="D1258" s="3"/>
      <c r="E1258" s="8"/>
      <c r="F1258" s="1"/>
      <c r="H1258" s="13"/>
    </row>
    <row r="1259" spans="4:8" ht="12.75">
      <c r="D1259" s="3"/>
      <c r="E1259" s="8"/>
      <c r="F1259" s="1"/>
      <c r="H1259" s="13"/>
    </row>
    <row r="1260" spans="4:8" ht="12.75">
      <c r="D1260" s="3"/>
      <c r="E1260" s="8"/>
      <c r="F1260" s="1"/>
      <c r="H1260" s="13"/>
    </row>
    <row r="1261" spans="4:8" ht="12.75">
      <c r="D1261" s="3"/>
      <c r="E1261" s="8"/>
      <c r="F1261" s="1"/>
      <c r="H1261" s="13"/>
    </row>
    <row r="1262" spans="4:8" ht="12.75">
      <c r="D1262" s="3"/>
      <c r="E1262" s="8"/>
      <c r="F1262" s="1"/>
      <c r="H1262" s="13"/>
    </row>
    <row r="1263" spans="4:8" ht="12.75">
      <c r="D1263" s="3"/>
      <c r="E1263" s="8"/>
      <c r="F1263" s="1"/>
      <c r="H1263" s="13"/>
    </row>
    <row r="1264" spans="4:8" ht="12.75">
      <c r="D1264" s="3"/>
      <c r="E1264" s="8"/>
      <c r="F1264" s="1"/>
      <c r="H1264" s="13"/>
    </row>
    <row r="1265" spans="4:8" ht="12.75">
      <c r="D1265" s="3"/>
      <c r="E1265" s="8"/>
      <c r="F1265" s="1"/>
      <c r="H1265" s="13"/>
    </row>
    <row r="1266" spans="4:8" ht="12.75">
      <c r="D1266" s="3"/>
      <c r="E1266" s="8"/>
      <c r="F1266" s="1"/>
      <c r="H1266" s="13"/>
    </row>
    <row r="1267" spans="4:8" ht="12.75">
      <c r="D1267" s="3"/>
      <c r="E1267" s="8"/>
      <c r="F1267" s="1"/>
      <c r="H1267" s="13"/>
    </row>
    <row r="1268" spans="4:8" ht="12.75">
      <c r="D1268" s="3"/>
      <c r="E1268" s="8"/>
      <c r="F1268" s="1"/>
      <c r="H1268" s="13"/>
    </row>
    <row r="1269" spans="4:8" ht="12.75">
      <c r="D1269" s="3"/>
      <c r="E1269" s="8"/>
      <c r="F1269" s="1"/>
      <c r="H1269" s="13"/>
    </row>
    <row r="1270" spans="4:8" ht="12.75">
      <c r="D1270" s="3"/>
      <c r="E1270" s="8"/>
      <c r="F1270" s="1"/>
      <c r="H1270" s="13"/>
    </row>
    <row r="1271" spans="4:8" ht="12.75">
      <c r="D1271" s="3"/>
      <c r="E1271" s="8"/>
      <c r="F1271" s="1"/>
      <c r="H1271" s="13"/>
    </row>
    <row r="1272" spans="4:8" ht="12.75">
      <c r="D1272" s="3"/>
      <c r="E1272" s="8"/>
      <c r="F1272" s="1"/>
      <c r="H1272" s="13"/>
    </row>
    <row r="1273" spans="4:8" ht="12.75">
      <c r="D1273" s="3"/>
      <c r="E1273" s="8"/>
      <c r="F1273" s="1"/>
      <c r="H1273" s="13"/>
    </row>
    <row r="1274" spans="4:8" ht="12.75">
      <c r="D1274" s="3"/>
      <c r="E1274" s="8"/>
      <c r="F1274" s="1"/>
      <c r="H1274" s="13"/>
    </row>
    <row r="1275" spans="4:8" ht="12.75">
      <c r="D1275" s="3"/>
      <c r="E1275" s="8"/>
      <c r="F1275" s="1"/>
      <c r="H1275" s="13"/>
    </row>
    <row r="1276" spans="4:8" ht="12.75">
      <c r="D1276" s="3"/>
      <c r="E1276" s="8"/>
      <c r="F1276" s="1"/>
      <c r="H1276" s="13"/>
    </row>
    <row r="1277" spans="4:8" ht="12.75">
      <c r="D1277" s="3"/>
      <c r="E1277" s="8"/>
      <c r="F1277" s="1"/>
      <c r="H1277" s="13"/>
    </row>
    <row r="1278" spans="4:8" ht="12.75">
      <c r="D1278" s="3"/>
      <c r="E1278" s="8"/>
      <c r="F1278" s="1"/>
      <c r="H1278" s="13"/>
    </row>
    <row r="1279" spans="4:8" ht="12.75">
      <c r="D1279" s="3"/>
      <c r="E1279" s="8"/>
      <c r="F1279" s="1"/>
      <c r="H1279" s="13"/>
    </row>
    <row r="1280" spans="4:8" ht="12.75">
      <c r="D1280" s="3"/>
      <c r="E1280" s="8"/>
      <c r="F1280" s="1"/>
      <c r="H1280" s="13"/>
    </row>
    <row r="1281" spans="4:8" ht="12.75">
      <c r="D1281" s="3"/>
      <c r="E1281" s="8"/>
      <c r="F1281" s="1"/>
      <c r="H1281" s="13"/>
    </row>
    <row r="1282" spans="4:8" ht="12.75">
      <c r="D1282" s="3"/>
      <c r="E1282" s="8"/>
      <c r="F1282" s="1"/>
      <c r="H1282" s="13"/>
    </row>
    <row r="1283" spans="4:8" ht="12.75">
      <c r="D1283" s="3"/>
      <c r="E1283" s="8"/>
      <c r="F1283" s="1"/>
      <c r="H1283" s="13"/>
    </row>
    <row r="1284" spans="4:8" ht="12.75">
      <c r="D1284" s="3"/>
      <c r="E1284" s="8"/>
      <c r="F1284" s="1"/>
      <c r="H1284" s="13"/>
    </row>
    <row r="1285" spans="4:8" ht="12.75">
      <c r="D1285" s="3"/>
      <c r="E1285" s="8"/>
      <c r="F1285" s="1"/>
      <c r="H1285" s="13"/>
    </row>
    <row r="1286" spans="4:8" ht="12.75">
      <c r="D1286" s="3"/>
      <c r="E1286" s="8"/>
      <c r="F1286" s="1"/>
      <c r="H1286" s="13"/>
    </row>
    <row r="1287" spans="4:8" ht="12.75">
      <c r="D1287" s="3"/>
      <c r="E1287" s="8"/>
      <c r="F1287" s="1"/>
      <c r="H1287" s="13"/>
    </row>
    <row r="1288" spans="4:8" ht="12.75">
      <c r="D1288" s="3"/>
      <c r="E1288" s="8"/>
      <c r="F1288" s="1"/>
      <c r="H1288" s="13"/>
    </row>
    <row r="1289" spans="4:8" ht="12.75">
      <c r="D1289" s="3"/>
      <c r="E1289" s="8"/>
      <c r="F1289" s="1"/>
      <c r="H1289" s="13"/>
    </row>
    <row r="1290" spans="4:8" ht="12.75">
      <c r="D1290" s="3"/>
      <c r="E1290" s="8"/>
      <c r="F1290" s="1"/>
      <c r="H1290" s="13"/>
    </row>
    <row r="1291" spans="4:8" ht="12.75">
      <c r="D1291" s="3"/>
      <c r="E1291" s="8"/>
      <c r="F1291" s="1"/>
      <c r="H1291" s="13"/>
    </row>
    <row r="1292" spans="4:8" ht="12.75">
      <c r="D1292" s="3"/>
      <c r="E1292" s="8"/>
      <c r="F1292" s="1"/>
      <c r="H1292" s="13"/>
    </row>
    <row r="1293" spans="4:8" ht="12.75">
      <c r="D1293" s="3"/>
      <c r="E1293" s="8"/>
      <c r="F1293" s="1"/>
      <c r="H1293" s="13"/>
    </row>
    <row r="1294" spans="4:8" ht="12.75">
      <c r="D1294" s="3"/>
      <c r="E1294" s="8"/>
      <c r="F1294" s="1"/>
      <c r="H1294" s="13"/>
    </row>
    <row r="1295" spans="4:8" ht="12.75">
      <c r="D1295" s="3"/>
      <c r="E1295" s="8"/>
      <c r="F1295" s="1"/>
      <c r="H1295" s="13"/>
    </row>
    <row r="1296" spans="4:8" ht="12.75">
      <c r="D1296" s="3"/>
      <c r="E1296" s="8"/>
      <c r="F1296" s="1"/>
      <c r="H1296" s="13"/>
    </row>
    <row r="1297" spans="4:8" ht="12.75">
      <c r="D1297" s="3"/>
      <c r="E1297" s="8"/>
      <c r="F1297" s="1"/>
      <c r="H1297" s="13"/>
    </row>
    <row r="1298" spans="4:8" ht="12.75">
      <c r="D1298" s="3"/>
      <c r="E1298" s="8"/>
      <c r="F1298" s="1"/>
      <c r="H1298" s="13"/>
    </row>
    <row r="1299" spans="4:8" ht="12.75">
      <c r="D1299" s="3"/>
      <c r="E1299" s="8"/>
      <c r="F1299" s="1"/>
      <c r="H1299" s="13"/>
    </row>
    <row r="1300" spans="4:8" ht="12.75">
      <c r="D1300" s="3"/>
      <c r="E1300" s="8"/>
      <c r="F1300" s="1"/>
      <c r="H1300" s="13"/>
    </row>
    <row r="1301" spans="4:8" ht="12.75">
      <c r="D1301" s="3"/>
      <c r="E1301" s="8"/>
      <c r="F1301" s="1"/>
      <c r="H1301" s="13"/>
    </row>
    <row r="1302" spans="4:8" ht="12.75">
      <c r="D1302" s="3"/>
      <c r="E1302" s="8"/>
      <c r="F1302" s="1"/>
      <c r="H1302" s="13"/>
    </row>
    <row r="1303" spans="4:8" ht="12.75">
      <c r="D1303" s="3"/>
      <c r="E1303" s="8"/>
      <c r="F1303" s="1"/>
      <c r="H1303" s="13"/>
    </row>
    <row r="1304" spans="4:8" ht="12.75">
      <c r="D1304" s="3"/>
      <c r="E1304" s="8"/>
      <c r="F1304" s="1"/>
      <c r="H1304" s="13"/>
    </row>
    <row r="1305" spans="4:8" ht="12.75">
      <c r="D1305" s="3"/>
      <c r="E1305" s="8"/>
      <c r="F1305" s="1"/>
      <c r="H1305" s="13"/>
    </row>
    <row r="1306" spans="4:8" ht="12.75">
      <c r="D1306" s="3"/>
      <c r="E1306" s="8"/>
      <c r="F1306" s="1"/>
      <c r="H1306" s="13"/>
    </row>
    <row r="1307" spans="4:8" ht="12.75">
      <c r="D1307" s="3"/>
      <c r="E1307" s="8"/>
      <c r="F1307" s="1"/>
      <c r="H1307" s="13"/>
    </row>
    <row r="1308" spans="4:8" ht="12.75">
      <c r="D1308" s="3"/>
      <c r="E1308" s="8"/>
      <c r="F1308" s="1"/>
      <c r="H1308" s="13"/>
    </row>
    <row r="1309" spans="4:8" ht="12.75">
      <c r="D1309" s="3"/>
      <c r="E1309" s="8"/>
      <c r="F1309" s="1"/>
      <c r="H1309" s="13"/>
    </row>
    <row r="1310" spans="4:8" ht="12.75">
      <c r="D1310" s="3"/>
      <c r="E1310" s="8"/>
      <c r="F1310" s="1"/>
      <c r="H1310" s="13"/>
    </row>
    <row r="1311" spans="4:8" ht="12.75">
      <c r="D1311" s="3"/>
      <c r="E1311" s="8"/>
      <c r="F1311" s="1"/>
      <c r="H1311" s="13"/>
    </row>
    <row r="1312" spans="4:8" ht="12.75">
      <c r="D1312" s="3"/>
      <c r="E1312" s="8"/>
      <c r="F1312" s="1"/>
      <c r="H1312" s="13"/>
    </row>
    <row r="1313" spans="4:8" ht="12.75">
      <c r="D1313" s="3"/>
      <c r="E1313" s="8"/>
      <c r="F1313" s="1"/>
      <c r="H1313" s="13"/>
    </row>
    <row r="1314" spans="4:8" ht="12.75">
      <c r="D1314" s="3"/>
      <c r="E1314" s="8"/>
      <c r="F1314" s="1"/>
      <c r="H1314" s="13"/>
    </row>
    <row r="1315" spans="4:8" ht="12.75">
      <c r="D1315" s="3"/>
      <c r="E1315" s="8"/>
      <c r="F1315" s="1"/>
      <c r="H1315" s="13"/>
    </row>
    <row r="1316" spans="4:8" ht="12.75">
      <c r="D1316" s="3"/>
      <c r="E1316" s="8"/>
      <c r="F1316" s="1"/>
      <c r="H1316" s="13"/>
    </row>
    <row r="1317" spans="4:8" ht="12.75">
      <c r="D1317" s="3"/>
      <c r="E1317" s="8"/>
      <c r="F1317" s="1"/>
      <c r="H1317" s="13"/>
    </row>
    <row r="1318" spans="4:8" ht="12.75">
      <c r="D1318" s="3"/>
      <c r="E1318" s="8"/>
      <c r="F1318" s="1"/>
      <c r="H1318" s="13"/>
    </row>
    <row r="1319" spans="4:8" ht="12.75">
      <c r="D1319" s="3"/>
      <c r="E1319" s="8"/>
      <c r="F1319" s="1"/>
      <c r="H1319" s="13"/>
    </row>
    <row r="1320" spans="4:8" ht="12.75">
      <c r="D1320" s="3"/>
      <c r="E1320" s="8"/>
      <c r="F1320" s="1"/>
      <c r="H1320" s="13"/>
    </row>
    <row r="1321" spans="4:8" ht="12.75">
      <c r="D1321" s="3"/>
      <c r="E1321" s="8"/>
      <c r="F1321" s="1"/>
      <c r="H1321" s="13"/>
    </row>
    <row r="1322" spans="4:8" ht="12.75">
      <c r="D1322" s="3"/>
      <c r="E1322" s="8"/>
      <c r="F1322" s="1"/>
      <c r="H1322" s="13"/>
    </row>
    <row r="1323" spans="4:8" ht="12.75">
      <c r="D1323" s="3"/>
      <c r="E1323" s="8"/>
      <c r="F1323" s="1"/>
      <c r="H1323" s="13"/>
    </row>
    <row r="1324" spans="4:8" ht="12.75">
      <c r="D1324" s="3"/>
      <c r="E1324" s="8"/>
      <c r="F1324" s="1"/>
      <c r="H1324" s="13"/>
    </row>
    <row r="1325" spans="4:8" ht="12.75">
      <c r="D1325" s="3"/>
      <c r="E1325" s="8"/>
      <c r="F1325" s="1"/>
      <c r="H1325" s="13"/>
    </row>
    <row r="1326" spans="4:8" ht="12.75">
      <c r="D1326" s="3"/>
      <c r="E1326" s="8"/>
      <c r="F1326" s="1"/>
      <c r="H1326" s="13"/>
    </row>
    <row r="1327" spans="4:8" ht="12.75">
      <c r="D1327" s="3"/>
      <c r="E1327" s="8"/>
      <c r="F1327" s="1"/>
      <c r="H1327" s="13"/>
    </row>
    <row r="1328" spans="4:8" ht="12.75">
      <c r="D1328" s="3"/>
      <c r="E1328" s="8"/>
      <c r="F1328" s="1"/>
      <c r="H1328" s="13"/>
    </row>
    <row r="1329" spans="4:8" ht="12.75">
      <c r="D1329" s="3"/>
      <c r="E1329" s="8"/>
      <c r="F1329" s="1"/>
      <c r="H1329" s="13"/>
    </row>
    <row r="1330" spans="4:8" ht="12.75">
      <c r="D1330" s="3"/>
      <c r="E1330" s="8"/>
      <c r="F1330" s="1"/>
      <c r="H1330" s="13"/>
    </row>
    <row r="1331" spans="4:8" ht="12.75">
      <c r="D1331" s="3"/>
      <c r="E1331" s="8"/>
      <c r="F1331" s="1"/>
      <c r="H1331" s="13"/>
    </row>
    <row r="1332" spans="4:8" ht="12.75">
      <c r="D1332" s="3"/>
      <c r="E1332" s="8"/>
      <c r="F1332" s="1"/>
      <c r="H1332" s="13"/>
    </row>
    <row r="1333" spans="4:8" ht="12.75">
      <c r="D1333" s="3"/>
      <c r="E1333" s="8"/>
      <c r="F1333" s="1"/>
      <c r="H1333" s="13"/>
    </row>
    <row r="1334" spans="4:8" ht="12.75">
      <c r="D1334" s="3"/>
      <c r="E1334" s="8"/>
      <c r="F1334" s="1"/>
      <c r="H1334" s="13"/>
    </row>
    <row r="1335" spans="4:8" ht="12.75">
      <c r="D1335" s="3"/>
      <c r="E1335" s="8"/>
      <c r="F1335" s="1"/>
      <c r="H1335" s="13"/>
    </row>
    <row r="1336" spans="4:8" ht="12.75">
      <c r="D1336" s="3"/>
      <c r="E1336" s="8"/>
      <c r="F1336" s="1"/>
      <c r="H1336" s="13"/>
    </row>
    <row r="1337" spans="4:8" ht="12.75">
      <c r="D1337" s="3"/>
      <c r="E1337" s="8"/>
      <c r="F1337" s="1"/>
      <c r="H1337" s="13"/>
    </row>
    <row r="1338" spans="4:8" ht="12.75">
      <c r="D1338" s="3"/>
      <c r="E1338" s="8"/>
      <c r="F1338" s="1"/>
      <c r="H1338" s="13"/>
    </row>
    <row r="1339" spans="4:8" ht="12.75">
      <c r="D1339" s="3"/>
      <c r="E1339" s="8"/>
      <c r="F1339" s="1"/>
      <c r="H1339" s="13"/>
    </row>
    <row r="1340" spans="4:8" ht="12.75">
      <c r="D1340" s="3"/>
      <c r="E1340" s="8"/>
      <c r="F1340" s="1"/>
      <c r="H1340" s="13"/>
    </row>
    <row r="1341" spans="4:8" ht="12.75">
      <c r="D1341" s="3"/>
      <c r="E1341" s="8"/>
      <c r="F1341" s="1"/>
      <c r="H1341" s="13"/>
    </row>
    <row r="1342" spans="4:8" ht="12.75">
      <c r="D1342" s="3"/>
      <c r="E1342" s="8"/>
      <c r="F1342" s="1"/>
      <c r="H1342" s="13"/>
    </row>
    <row r="1343" spans="4:8" ht="12.75">
      <c r="D1343" s="3"/>
      <c r="E1343" s="8"/>
      <c r="F1343" s="1"/>
      <c r="H1343" s="13"/>
    </row>
    <row r="1344" spans="4:8" ht="12.75">
      <c r="D1344" s="3"/>
      <c r="E1344" s="8"/>
      <c r="F1344" s="1"/>
      <c r="H1344" s="13"/>
    </row>
    <row r="1345" spans="4:8" ht="12.75">
      <c r="D1345" s="3"/>
      <c r="E1345" s="8"/>
      <c r="F1345" s="1"/>
      <c r="H1345" s="13"/>
    </row>
    <row r="1346" spans="4:8" ht="12.75">
      <c r="D1346" s="3"/>
      <c r="E1346" s="8"/>
      <c r="F1346" s="1"/>
      <c r="H1346" s="13"/>
    </row>
    <row r="1347" spans="4:8" ht="12.75">
      <c r="D1347" s="3"/>
      <c r="E1347" s="8"/>
      <c r="F1347" s="1"/>
      <c r="H1347" s="13"/>
    </row>
    <row r="1348" spans="4:8" ht="12.75">
      <c r="D1348" s="3"/>
      <c r="E1348" s="8"/>
      <c r="F1348" s="1"/>
      <c r="H1348" s="13"/>
    </row>
    <row r="1349" spans="4:8" ht="12.75">
      <c r="D1349" s="3"/>
      <c r="E1349" s="8"/>
      <c r="F1349" s="1"/>
      <c r="H1349" s="13"/>
    </row>
    <row r="1350" spans="4:8" ht="12.75">
      <c r="D1350" s="3"/>
      <c r="E1350" s="8"/>
      <c r="F1350" s="1"/>
      <c r="H1350" s="13"/>
    </row>
    <row r="1351" spans="4:8" ht="12.75">
      <c r="D1351" s="3"/>
      <c r="E1351" s="8"/>
      <c r="F1351" s="1"/>
      <c r="H1351" s="13"/>
    </row>
    <row r="1352" spans="4:8" ht="12.75">
      <c r="D1352" s="3"/>
      <c r="E1352" s="8"/>
      <c r="F1352" s="1"/>
      <c r="H1352" s="13"/>
    </row>
    <row r="1353" spans="4:8" ht="12.75">
      <c r="D1353" s="3"/>
      <c r="E1353" s="8"/>
      <c r="F1353" s="1"/>
      <c r="H1353" s="13"/>
    </row>
    <row r="1354" spans="4:8" ht="12.75">
      <c r="D1354" s="3"/>
      <c r="E1354" s="8"/>
      <c r="F1354" s="1"/>
      <c r="H1354" s="13"/>
    </row>
    <row r="1355" spans="4:8" ht="12.75">
      <c r="D1355" s="3"/>
      <c r="E1355" s="8"/>
      <c r="F1355" s="1"/>
      <c r="H1355" s="13"/>
    </row>
    <row r="1356" spans="4:8" ht="12.75">
      <c r="D1356" s="3"/>
      <c r="E1356" s="8"/>
      <c r="F1356" s="1"/>
      <c r="H1356" s="13"/>
    </row>
    <row r="1357" spans="4:8" ht="12.75">
      <c r="D1357" s="3"/>
      <c r="E1357" s="8"/>
      <c r="F1357" s="1"/>
      <c r="H1357" s="13"/>
    </row>
    <row r="1358" spans="4:8" ht="12.75">
      <c r="D1358" s="3"/>
      <c r="E1358" s="8"/>
      <c r="F1358" s="1"/>
      <c r="H1358" s="13"/>
    </row>
    <row r="1359" spans="4:8" ht="12.75">
      <c r="D1359" s="3"/>
      <c r="E1359" s="8"/>
      <c r="F1359" s="1"/>
      <c r="H1359" s="13"/>
    </row>
    <row r="1360" spans="4:8" ht="12.75">
      <c r="D1360" s="3"/>
      <c r="E1360" s="8"/>
      <c r="F1360" s="1"/>
      <c r="H1360" s="13"/>
    </row>
    <row r="1361" spans="4:8" ht="12.75">
      <c r="D1361" s="3"/>
      <c r="E1361" s="8"/>
      <c r="F1361" s="1"/>
      <c r="H1361" s="13"/>
    </row>
    <row r="1362" spans="4:8" ht="12.75">
      <c r="D1362" s="3"/>
      <c r="E1362" s="8"/>
      <c r="F1362" s="1"/>
      <c r="H1362" s="13"/>
    </row>
    <row r="1363" spans="4:8" ht="12.75">
      <c r="D1363" s="3"/>
      <c r="E1363" s="8"/>
      <c r="F1363" s="1"/>
      <c r="H1363" s="13"/>
    </row>
    <row r="1364" spans="4:8" ht="12.75">
      <c r="D1364" s="3"/>
      <c r="E1364" s="8"/>
      <c r="F1364" s="1"/>
      <c r="H1364" s="13"/>
    </row>
    <row r="1365" spans="4:8" ht="12.75">
      <c r="D1365" s="3"/>
      <c r="E1365" s="8"/>
      <c r="F1365" s="1"/>
      <c r="H1365" s="13"/>
    </row>
    <row r="1366" spans="4:8" ht="12.75">
      <c r="D1366" s="3"/>
      <c r="E1366" s="8"/>
      <c r="F1366" s="1"/>
      <c r="H1366" s="13"/>
    </row>
    <row r="1367" spans="4:8" ht="12.75">
      <c r="D1367" s="3"/>
      <c r="E1367" s="8"/>
      <c r="F1367" s="1"/>
      <c r="H1367" s="13"/>
    </row>
    <row r="1368" spans="4:8" ht="12.75">
      <c r="D1368" s="3"/>
      <c r="E1368" s="8"/>
      <c r="F1368" s="1"/>
      <c r="H1368" s="13"/>
    </row>
    <row r="1369" spans="4:8" ht="12.75">
      <c r="D1369" s="3"/>
      <c r="E1369" s="8"/>
      <c r="F1369" s="1"/>
      <c r="H1369" s="13"/>
    </row>
    <row r="1370" spans="4:8" ht="12.75">
      <c r="D1370" s="3"/>
      <c r="E1370" s="8"/>
      <c r="F1370" s="1"/>
      <c r="H1370" s="13"/>
    </row>
    <row r="1371" spans="4:8" ht="12.75">
      <c r="D1371" s="3"/>
      <c r="E1371" s="8"/>
      <c r="F1371" s="1"/>
      <c r="H1371" s="13"/>
    </row>
    <row r="1372" spans="4:8" ht="12.75">
      <c r="D1372" s="3"/>
      <c r="E1372" s="8"/>
      <c r="F1372" s="1"/>
      <c r="H1372" s="13"/>
    </row>
    <row r="1373" spans="4:8" ht="12.75">
      <c r="D1373" s="3"/>
      <c r="E1373" s="8"/>
      <c r="F1373" s="1"/>
      <c r="H1373" s="13"/>
    </row>
    <row r="1374" spans="4:8" ht="12.75">
      <c r="D1374" s="3"/>
      <c r="E1374" s="8"/>
      <c r="F1374" s="1"/>
      <c r="H1374" s="13"/>
    </row>
    <row r="1375" spans="4:8" ht="12.75">
      <c r="D1375" s="3"/>
      <c r="E1375" s="8"/>
      <c r="F1375" s="1"/>
      <c r="H1375" s="13"/>
    </row>
    <row r="1376" spans="4:8" ht="12.75">
      <c r="D1376" s="3"/>
      <c r="E1376" s="8"/>
      <c r="F1376" s="1"/>
      <c r="H1376" s="13"/>
    </row>
    <row r="1377" spans="4:8" ht="12.75">
      <c r="D1377" s="3"/>
      <c r="E1377" s="8"/>
      <c r="F1377" s="1"/>
      <c r="H1377" s="13"/>
    </row>
    <row r="1378" spans="4:8" ht="12.75">
      <c r="D1378" s="3"/>
      <c r="E1378" s="8"/>
      <c r="F1378" s="1"/>
      <c r="H1378" s="13"/>
    </row>
    <row r="1379" spans="4:8" ht="12.75">
      <c r="D1379" s="3"/>
      <c r="E1379" s="8"/>
      <c r="F1379" s="1"/>
      <c r="H1379" s="13"/>
    </row>
    <row r="1380" spans="4:8" ht="12.75">
      <c r="D1380" s="3"/>
      <c r="E1380" s="8"/>
      <c r="F1380" s="1"/>
      <c r="H1380" s="13"/>
    </row>
    <row r="1381" spans="4:8" ht="12.75">
      <c r="D1381" s="3"/>
      <c r="E1381" s="8"/>
      <c r="F1381" s="1"/>
      <c r="H1381" s="13"/>
    </row>
    <row r="1382" spans="4:8" ht="12.75">
      <c r="D1382" s="3"/>
      <c r="E1382" s="8"/>
      <c r="F1382" s="1"/>
      <c r="H1382" s="13"/>
    </row>
    <row r="1383" spans="4:8" ht="12.75">
      <c r="D1383" s="3"/>
      <c r="E1383" s="8"/>
      <c r="F1383" s="1"/>
      <c r="H1383" s="13"/>
    </row>
    <row r="1384" spans="4:8" ht="12.75">
      <c r="D1384" s="3"/>
      <c r="E1384" s="8"/>
      <c r="F1384" s="1"/>
      <c r="H1384" s="13"/>
    </row>
    <row r="1385" spans="4:8" ht="12.75">
      <c r="D1385" s="3"/>
      <c r="E1385" s="8"/>
      <c r="F1385" s="1"/>
      <c r="H1385" s="13"/>
    </row>
    <row r="1386" spans="4:8" ht="12.75">
      <c r="D1386" s="3"/>
      <c r="E1386" s="8"/>
      <c r="F1386" s="1"/>
      <c r="H1386" s="13"/>
    </row>
    <row r="1387" spans="4:8" ht="12.75">
      <c r="D1387" s="3"/>
      <c r="E1387" s="8"/>
      <c r="F1387" s="1"/>
      <c r="H1387" s="13"/>
    </row>
    <row r="1388" spans="4:8" ht="12.75">
      <c r="D1388" s="3"/>
      <c r="E1388" s="8"/>
      <c r="F1388" s="1"/>
      <c r="H1388" s="13"/>
    </row>
    <row r="1389" spans="4:8" ht="12.75">
      <c r="D1389" s="3"/>
      <c r="E1389" s="8"/>
      <c r="F1389" s="1"/>
      <c r="H1389" s="13"/>
    </row>
    <row r="1390" spans="4:8" ht="12.75">
      <c r="D1390" s="3"/>
      <c r="E1390" s="8"/>
      <c r="F1390" s="1"/>
      <c r="H1390" s="13"/>
    </row>
    <row r="1391" spans="4:8" ht="12.75">
      <c r="D1391" s="3"/>
      <c r="E1391" s="8"/>
      <c r="F1391" s="1"/>
      <c r="H1391" s="13"/>
    </row>
    <row r="1392" spans="4:8" ht="12.75">
      <c r="D1392" s="3"/>
      <c r="E1392" s="8"/>
      <c r="F1392" s="1"/>
      <c r="H1392" s="13"/>
    </row>
    <row r="1393" spans="4:8" ht="12.75">
      <c r="D1393" s="3"/>
      <c r="E1393" s="8"/>
      <c r="F1393" s="1"/>
      <c r="H1393" s="13"/>
    </row>
    <row r="1394" spans="4:8" ht="12.75">
      <c r="D1394" s="3"/>
      <c r="E1394" s="8"/>
      <c r="F1394" s="1"/>
      <c r="H1394" s="13"/>
    </row>
    <row r="1395" spans="4:8" ht="12.75">
      <c r="D1395" s="3"/>
      <c r="E1395" s="8"/>
      <c r="F1395" s="1"/>
      <c r="H1395" s="13"/>
    </row>
    <row r="1396" spans="4:8" ht="12.75">
      <c r="D1396" s="3"/>
      <c r="E1396" s="8"/>
      <c r="F1396" s="1"/>
      <c r="H1396" s="13"/>
    </row>
    <row r="1397" spans="4:8" ht="12.75">
      <c r="D1397" s="3"/>
      <c r="E1397" s="8"/>
      <c r="F1397" s="1"/>
      <c r="H1397" s="13"/>
    </row>
    <row r="1398" spans="4:8" ht="12.75">
      <c r="D1398" s="3"/>
      <c r="E1398" s="8"/>
      <c r="F1398" s="1"/>
      <c r="H1398" s="13"/>
    </row>
    <row r="1399" spans="4:8" ht="12.75">
      <c r="D1399" s="3"/>
      <c r="E1399" s="8"/>
      <c r="F1399" s="1"/>
      <c r="H1399" s="13"/>
    </row>
    <row r="1400" spans="4:8" ht="12.75">
      <c r="D1400" s="3"/>
      <c r="E1400" s="8"/>
      <c r="F1400" s="1"/>
      <c r="H1400" s="13"/>
    </row>
    <row r="1401" spans="4:8" ht="12.75">
      <c r="D1401" s="3"/>
      <c r="E1401" s="8"/>
      <c r="F1401" s="1"/>
      <c r="H1401" s="13"/>
    </row>
    <row r="1402" spans="4:8" ht="12.75">
      <c r="D1402" s="3"/>
      <c r="E1402" s="8"/>
      <c r="F1402" s="1"/>
      <c r="H1402" s="13"/>
    </row>
    <row r="1403" spans="4:8" ht="12.75">
      <c r="D1403" s="3"/>
      <c r="E1403" s="8"/>
      <c r="F1403" s="1"/>
      <c r="H1403" s="13"/>
    </row>
    <row r="1404" spans="4:8" ht="12.75">
      <c r="D1404" s="3"/>
      <c r="E1404" s="8"/>
      <c r="F1404" s="1"/>
      <c r="H1404" s="13"/>
    </row>
    <row r="1405" spans="4:8" ht="12.75">
      <c r="D1405" s="3"/>
      <c r="E1405" s="8"/>
      <c r="F1405" s="1"/>
      <c r="H1405" s="13"/>
    </row>
    <row r="1406" spans="4:8" ht="12.75">
      <c r="D1406" s="3"/>
      <c r="E1406" s="8"/>
      <c r="F1406" s="1"/>
      <c r="H1406" s="13"/>
    </row>
    <row r="1407" spans="4:8" ht="12.75">
      <c r="D1407" s="3"/>
      <c r="E1407" s="8"/>
      <c r="F1407" s="1"/>
      <c r="H1407" s="13"/>
    </row>
    <row r="1408" spans="4:8" ht="12.75">
      <c r="D1408" s="3"/>
      <c r="E1408" s="8"/>
      <c r="F1408" s="1"/>
      <c r="H1408" s="13"/>
    </row>
    <row r="1409" spans="4:8" ht="12.75">
      <c r="D1409" s="3"/>
      <c r="E1409" s="8"/>
      <c r="F1409" s="1"/>
      <c r="H1409" s="13"/>
    </row>
    <row r="1410" spans="4:8" ht="12.75">
      <c r="D1410" s="3"/>
      <c r="E1410" s="8"/>
      <c r="F1410" s="1"/>
      <c r="H1410" s="13"/>
    </row>
    <row r="1411" spans="4:8" ht="12.75">
      <c r="D1411" s="3"/>
      <c r="E1411" s="8"/>
      <c r="F1411" s="1"/>
      <c r="H1411" s="13"/>
    </row>
    <row r="1412" spans="4:8" ht="12.75">
      <c r="D1412" s="3"/>
      <c r="E1412" s="8"/>
      <c r="F1412" s="1"/>
      <c r="H1412" s="13"/>
    </row>
    <row r="1413" spans="4:8" ht="12.75">
      <c r="D1413" s="3"/>
      <c r="E1413" s="8"/>
      <c r="F1413" s="1"/>
      <c r="H1413" s="13"/>
    </row>
    <row r="1414" spans="4:8" ht="12.75">
      <c r="D1414" s="3"/>
      <c r="E1414" s="8"/>
      <c r="F1414" s="1"/>
      <c r="H1414" s="13"/>
    </row>
    <row r="1415" spans="4:8" ht="12.75">
      <c r="D1415" s="3"/>
      <c r="E1415" s="8"/>
      <c r="F1415" s="1"/>
      <c r="H1415" s="13"/>
    </row>
    <row r="1416" spans="4:8" ht="12.75">
      <c r="D1416" s="3"/>
      <c r="E1416" s="8"/>
      <c r="F1416" s="1"/>
      <c r="H1416" s="13"/>
    </row>
    <row r="1417" spans="4:8" ht="12.75">
      <c r="D1417" s="3"/>
      <c r="E1417" s="8"/>
      <c r="F1417" s="1"/>
      <c r="H1417" s="13"/>
    </row>
    <row r="1418" spans="4:8" ht="12.75">
      <c r="D1418" s="3"/>
      <c r="E1418" s="8"/>
      <c r="F1418" s="1"/>
      <c r="H1418" s="13"/>
    </row>
    <row r="1419" spans="4:8" ht="12.75">
      <c r="D1419" s="3"/>
      <c r="E1419" s="8"/>
      <c r="F1419" s="1"/>
      <c r="H1419" s="13"/>
    </row>
    <row r="1420" spans="4:8" ht="12.75">
      <c r="D1420" s="3"/>
      <c r="E1420" s="8"/>
      <c r="F1420" s="1"/>
      <c r="H1420" s="13"/>
    </row>
    <row r="1421" spans="4:8" ht="12.75">
      <c r="D1421" s="3"/>
      <c r="E1421" s="8"/>
      <c r="F1421" s="1"/>
      <c r="H1421" s="13"/>
    </row>
    <row r="1422" spans="4:8" ht="12.75">
      <c r="D1422" s="3"/>
      <c r="E1422" s="8"/>
      <c r="F1422" s="1"/>
      <c r="H1422" s="13"/>
    </row>
    <row r="1423" spans="4:8" ht="12.75">
      <c r="D1423" s="3"/>
      <c r="E1423" s="8"/>
      <c r="F1423" s="1"/>
      <c r="H1423" s="13"/>
    </row>
    <row r="1424" spans="4:8" ht="12.75">
      <c r="D1424" s="3"/>
      <c r="E1424" s="8"/>
      <c r="F1424" s="1"/>
      <c r="H1424" s="13"/>
    </row>
    <row r="1425" spans="4:8" ht="12.75">
      <c r="D1425" s="3"/>
      <c r="E1425" s="8"/>
      <c r="F1425" s="1"/>
      <c r="H1425" s="13"/>
    </row>
    <row r="1426" spans="4:8" ht="12.75">
      <c r="D1426" s="3"/>
      <c r="E1426" s="8"/>
      <c r="F1426" s="1"/>
      <c r="H1426" s="13"/>
    </row>
    <row r="1427" spans="4:8" ht="12.75">
      <c r="D1427" s="3"/>
      <c r="E1427" s="8"/>
      <c r="F1427" s="1"/>
      <c r="H1427" s="13"/>
    </row>
    <row r="1428" spans="4:8" ht="12.75">
      <c r="D1428" s="3"/>
      <c r="E1428" s="8"/>
      <c r="F1428" s="1"/>
      <c r="H1428" s="13"/>
    </row>
    <row r="1429" spans="4:8" ht="12.75">
      <c r="D1429" s="3"/>
      <c r="E1429" s="8"/>
      <c r="F1429" s="1"/>
      <c r="H1429" s="13"/>
    </row>
    <row r="1430" spans="4:8" ht="12.75">
      <c r="D1430" s="3"/>
      <c r="E1430" s="8"/>
      <c r="F1430" s="1"/>
      <c r="H1430" s="13"/>
    </row>
    <row r="1431" spans="4:8" ht="12.75">
      <c r="D1431" s="3"/>
      <c r="E1431" s="8"/>
      <c r="F1431" s="1"/>
      <c r="H1431" s="13"/>
    </row>
    <row r="1432" spans="4:8" ht="12.75">
      <c r="D1432" s="3"/>
      <c r="E1432" s="8"/>
      <c r="F1432" s="1"/>
      <c r="H1432" s="13"/>
    </row>
    <row r="1433" spans="4:8" ht="12.75">
      <c r="D1433" s="3"/>
      <c r="E1433" s="8"/>
      <c r="F1433" s="1"/>
      <c r="H1433" s="13"/>
    </row>
    <row r="1434" spans="4:8" ht="12.75">
      <c r="D1434" s="3"/>
      <c r="E1434" s="8"/>
      <c r="F1434" s="1"/>
      <c r="H1434" s="13"/>
    </row>
    <row r="1435" spans="4:8" ht="12.75">
      <c r="D1435" s="3"/>
      <c r="E1435" s="8"/>
      <c r="F1435" s="1"/>
      <c r="H1435" s="13"/>
    </row>
    <row r="1436" spans="4:8" ht="12.75">
      <c r="D1436" s="3"/>
      <c r="E1436" s="8"/>
      <c r="F1436" s="1"/>
      <c r="H1436" s="13"/>
    </row>
    <row r="1437" spans="4:8" ht="12.75">
      <c r="D1437" s="3"/>
      <c r="E1437" s="8"/>
      <c r="F1437" s="1"/>
      <c r="H1437" s="13"/>
    </row>
    <row r="1438" spans="4:8" ht="12.75">
      <c r="D1438" s="3"/>
      <c r="E1438" s="8"/>
      <c r="F1438" s="1"/>
      <c r="H1438" s="13"/>
    </row>
    <row r="1439" spans="4:8" ht="12.75">
      <c r="D1439" s="3"/>
      <c r="E1439" s="8"/>
      <c r="F1439" s="1"/>
      <c r="H1439" s="13"/>
    </row>
    <row r="1440" spans="4:8" ht="12.75">
      <c r="D1440" s="3"/>
      <c r="E1440" s="8"/>
      <c r="F1440" s="1"/>
      <c r="H1440" s="13"/>
    </row>
    <row r="1441" spans="4:8" ht="12.75">
      <c r="D1441" s="3"/>
      <c r="E1441" s="8"/>
      <c r="F1441" s="1"/>
      <c r="H1441" s="13"/>
    </row>
    <row r="1442" spans="4:8" ht="12.75">
      <c r="D1442" s="3"/>
      <c r="E1442" s="8"/>
      <c r="F1442" s="1"/>
      <c r="H1442" s="13"/>
    </row>
    <row r="1443" spans="4:8" ht="12.75">
      <c r="D1443" s="3"/>
      <c r="E1443" s="8"/>
      <c r="F1443" s="1"/>
      <c r="H1443" s="13"/>
    </row>
    <row r="1444" spans="4:8" ht="12.75">
      <c r="D1444" s="3"/>
      <c r="E1444" s="8"/>
      <c r="F1444" s="1"/>
      <c r="H1444" s="13"/>
    </row>
    <row r="1445" spans="4:8" ht="12.75">
      <c r="D1445" s="3"/>
      <c r="E1445" s="8"/>
      <c r="F1445" s="1"/>
      <c r="H1445" s="13"/>
    </row>
    <row r="1446" spans="4:8" ht="12.75">
      <c r="D1446" s="3"/>
      <c r="E1446" s="8"/>
      <c r="F1446" s="1"/>
      <c r="H1446" s="13"/>
    </row>
    <row r="1447" spans="4:8" ht="12.75">
      <c r="D1447" s="3"/>
      <c r="E1447" s="8"/>
      <c r="F1447" s="1"/>
      <c r="H1447" s="13"/>
    </row>
    <row r="1448" spans="4:8" ht="12.75">
      <c r="D1448" s="3"/>
      <c r="E1448" s="8"/>
      <c r="F1448" s="1"/>
      <c r="H1448" s="13"/>
    </row>
    <row r="1449" spans="4:8" ht="12.75">
      <c r="D1449" s="3"/>
      <c r="E1449" s="8"/>
      <c r="F1449" s="1"/>
      <c r="H1449" s="13"/>
    </row>
    <row r="1450" spans="4:8" ht="12.75">
      <c r="D1450" s="3"/>
      <c r="E1450" s="8"/>
      <c r="F1450" s="1"/>
      <c r="H1450" s="13"/>
    </row>
    <row r="1451" spans="4:8" ht="12.75">
      <c r="D1451" s="3"/>
      <c r="E1451" s="8"/>
      <c r="F1451" s="1"/>
      <c r="H1451" s="13"/>
    </row>
    <row r="1452" spans="4:8" ht="12.75">
      <c r="D1452" s="3"/>
      <c r="E1452" s="8"/>
      <c r="F1452" s="1"/>
      <c r="H1452" s="13"/>
    </row>
    <row r="1453" spans="4:8" ht="12.75">
      <c r="D1453" s="3"/>
      <c r="E1453" s="8"/>
      <c r="F1453" s="1"/>
      <c r="H1453" s="13"/>
    </row>
    <row r="1454" spans="4:8" ht="12.75">
      <c r="D1454" s="3"/>
      <c r="E1454" s="8"/>
      <c r="F1454" s="1"/>
      <c r="H1454" s="13"/>
    </row>
    <row r="1455" spans="4:8" ht="12.75">
      <c r="D1455" s="3"/>
      <c r="E1455" s="8"/>
      <c r="F1455" s="1"/>
      <c r="H1455" s="13"/>
    </row>
    <row r="1456" spans="4:8" ht="12.75">
      <c r="D1456" s="3"/>
      <c r="E1456" s="8"/>
      <c r="F1456" s="1"/>
      <c r="H1456" s="13"/>
    </row>
    <row r="1457" spans="4:8" ht="12.75">
      <c r="D1457" s="3"/>
      <c r="E1457" s="8"/>
      <c r="F1457" s="1"/>
      <c r="H1457" s="13"/>
    </row>
    <row r="1458" spans="4:8" ht="12.75">
      <c r="D1458" s="3"/>
      <c r="E1458" s="8"/>
      <c r="F1458" s="1"/>
      <c r="H1458" s="13"/>
    </row>
    <row r="1459" spans="4:8" ht="12.75">
      <c r="D1459" s="3"/>
      <c r="E1459" s="8"/>
      <c r="F1459" s="1"/>
      <c r="H1459" s="13"/>
    </row>
    <row r="1460" spans="4:8" ht="12.75">
      <c r="D1460" s="3"/>
      <c r="E1460" s="8"/>
      <c r="F1460" s="1"/>
      <c r="H1460" s="13"/>
    </row>
    <row r="1461" spans="4:8" ht="12.75">
      <c r="D1461" s="3"/>
      <c r="E1461" s="8"/>
      <c r="F1461" s="1"/>
      <c r="H1461" s="13"/>
    </row>
    <row r="1462" spans="4:8" ht="12.75">
      <c r="D1462" s="3"/>
      <c r="E1462" s="8"/>
      <c r="F1462" s="1"/>
      <c r="H1462" s="13"/>
    </row>
    <row r="1463" spans="4:8" ht="12.75">
      <c r="D1463" s="3"/>
      <c r="E1463" s="8"/>
      <c r="F1463" s="1"/>
      <c r="H1463" s="13"/>
    </row>
    <row r="1464" spans="4:8" ht="12.75">
      <c r="D1464" s="3"/>
      <c r="E1464" s="8"/>
      <c r="F1464" s="1"/>
      <c r="H1464" s="13"/>
    </row>
    <row r="1465" spans="4:8" ht="12.75">
      <c r="D1465" s="3"/>
      <c r="E1465" s="8"/>
      <c r="F1465" s="1"/>
      <c r="H1465" s="13"/>
    </row>
    <row r="1466" spans="4:8" ht="12.75">
      <c r="D1466" s="3"/>
      <c r="E1466" s="8"/>
      <c r="F1466" s="1"/>
      <c r="H1466" s="13"/>
    </row>
    <row r="1467" spans="4:8" ht="12.75">
      <c r="D1467" s="3"/>
      <c r="E1467" s="8"/>
      <c r="F1467" s="1"/>
      <c r="H1467" s="13"/>
    </row>
    <row r="1468" spans="4:8" ht="12.75">
      <c r="D1468" s="3"/>
      <c r="E1468" s="8"/>
      <c r="F1468" s="1"/>
      <c r="H1468" s="13"/>
    </row>
    <row r="1469" spans="4:8" ht="12.75">
      <c r="D1469" s="3"/>
      <c r="E1469" s="8"/>
      <c r="F1469" s="1"/>
      <c r="H1469" s="13"/>
    </row>
    <row r="1470" spans="4:8" ht="12.75">
      <c r="D1470" s="3"/>
      <c r="E1470" s="8"/>
      <c r="F1470" s="1"/>
      <c r="H1470" s="13"/>
    </row>
    <row r="1471" spans="4:8" ht="12.75">
      <c r="D1471" s="3"/>
      <c r="E1471" s="8"/>
      <c r="F1471" s="1"/>
      <c r="H1471" s="13"/>
    </row>
    <row r="1472" spans="4:8" ht="12.75">
      <c r="D1472" s="3"/>
      <c r="E1472" s="8"/>
      <c r="F1472" s="1"/>
      <c r="H1472" s="13"/>
    </row>
    <row r="1473" spans="4:8" ht="12.75">
      <c r="D1473" s="3"/>
      <c r="E1473" s="8"/>
      <c r="F1473" s="1"/>
      <c r="H1473" s="13"/>
    </row>
    <row r="1474" spans="4:8" ht="12.75">
      <c r="D1474" s="3"/>
      <c r="E1474" s="8"/>
      <c r="F1474" s="1"/>
      <c r="H1474" s="13"/>
    </row>
    <row r="1475" spans="4:8" ht="12.75">
      <c r="D1475" s="3"/>
      <c r="E1475" s="8"/>
      <c r="F1475" s="1"/>
      <c r="H1475" s="13"/>
    </row>
    <row r="1476" spans="4:8" ht="12.75">
      <c r="D1476" s="3"/>
      <c r="E1476" s="8"/>
      <c r="F1476" s="1"/>
      <c r="H1476" s="13"/>
    </row>
    <row r="1477" spans="4:8" ht="12.75">
      <c r="D1477" s="3"/>
      <c r="E1477" s="8"/>
      <c r="F1477" s="1"/>
      <c r="H1477" s="13"/>
    </row>
    <row r="1478" spans="4:8" ht="12.75">
      <c r="D1478" s="3"/>
      <c r="E1478" s="8"/>
      <c r="F1478" s="1"/>
      <c r="H1478" s="13"/>
    </row>
    <row r="1479" spans="4:8" ht="12.75">
      <c r="D1479" s="3"/>
      <c r="E1479" s="8"/>
      <c r="F1479" s="1"/>
      <c r="H1479" s="13"/>
    </row>
    <row r="1480" spans="4:8" ht="12.75">
      <c r="D1480" s="3"/>
      <c r="E1480" s="8"/>
      <c r="F1480" s="1"/>
      <c r="H1480" s="13"/>
    </row>
    <row r="1481" spans="4:8" ht="12.75">
      <c r="D1481" s="3"/>
      <c r="E1481" s="8"/>
      <c r="F1481" s="1"/>
      <c r="H1481" s="13"/>
    </row>
    <row r="1482" spans="4:8" ht="12.75">
      <c r="D1482" s="3"/>
      <c r="E1482" s="8"/>
      <c r="F1482" s="1"/>
      <c r="H1482" s="13"/>
    </row>
    <row r="1483" spans="4:8" ht="12.75">
      <c r="D1483" s="3"/>
      <c r="E1483" s="8"/>
      <c r="F1483" s="1"/>
      <c r="H1483" s="13"/>
    </row>
    <row r="1484" spans="4:8" ht="12.75">
      <c r="D1484" s="3"/>
      <c r="E1484" s="8"/>
      <c r="F1484" s="1"/>
      <c r="H1484" s="13"/>
    </row>
    <row r="1485" spans="4:8" ht="12.75">
      <c r="D1485" s="3"/>
      <c r="E1485" s="8"/>
      <c r="F1485" s="1"/>
      <c r="H1485" s="13"/>
    </row>
    <row r="1486" spans="4:8" ht="12.75">
      <c r="D1486" s="3"/>
      <c r="E1486" s="8"/>
      <c r="F1486" s="1"/>
      <c r="H1486" s="13"/>
    </row>
    <row r="1487" spans="4:8" ht="12.75">
      <c r="D1487" s="3"/>
      <c r="E1487" s="8"/>
      <c r="F1487" s="1"/>
      <c r="H1487" s="13"/>
    </row>
    <row r="1488" spans="4:8" ht="12.75">
      <c r="D1488" s="3"/>
      <c r="E1488" s="8"/>
      <c r="F1488" s="1"/>
      <c r="H1488" s="13"/>
    </row>
    <row r="1489" spans="4:8" ht="12.75">
      <c r="D1489" s="3"/>
      <c r="E1489" s="8"/>
      <c r="F1489" s="1"/>
      <c r="H1489" s="13"/>
    </row>
    <row r="1490" spans="4:8" ht="12.75">
      <c r="D1490" s="3"/>
      <c r="E1490" s="8"/>
      <c r="F1490" s="1"/>
      <c r="H1490" s="13"/>
    </row>
    <row r="1491" spans="4:8" ht="12.75">
      <c r="D1491" s="3"/>
      <c r="E1491" s="8"/>
      <c r="F1491" s="1"/>
      <c r="H1491" s="13"/>
    </row>
    <row r="1492" spans="4:8" ht="12.75">
      <c r="D1492" s="3"/>
      <c r="E1492" s="8"/>
      <c r="F1492" s="1"/>
      <c r="H1492" s="13"/>
    </row>
    <row r="1493" spans="4:8" ht="12.75">
      <c r="D1493" s="3"/>
      <c r="E1493" s="8"/>
      <c r="F1493" s="1"/>
      <c r="H1493" s="13"/>
    </row>
    <row r="1494" spans="4:8" ht="12.75">
      <c r="D1494" s="3"/>
      <c r="E1494" s="8"/>
      <c r="F1494" s="1"/>
      <c r="H1494" s="13"/>
    </row>
    <row r="1495" spans="4:8" ht="12.75">
      <c r="D1495" s="3"/>
      <c r="E1495" s="8"/>
      <c r="F1495" s="1"/>
      <c r="H1495" s="13"/>
    </row>
    <row r="1496" spans="4:8" ht="12.75">
      <c r="D1496" s="3"/>
      <c r="E1496" s="8"/>
      <c r="F1496" s="1"/>
      <c r="H1496" s="13"/>
    </row>
    <row r="1497" spans="4:8" ht="12.75">
      <c r="D1497" s="3"/>
      <c r="E1497" s="8"/>
      <c r="F1497" s="1"/>
      <c r="H1497" s="13"/>
    </row>
    <row r="1498" spans="4:8" ht="12.75">
      <c r="D1498" s="3"/>
      <c r="E1498" s="8"/>
      <c r="F1498" s="1"/>
      <c r="H1498" s="13"/>
    </row>
    <row r="1499" spans="4:8" ht="12.75">
      <c r="D1499" s="3"/>
      <c r="E1499" s="8"/>
      <c r="F1499" s="1"/>
      <c r="H1499" s="13"/>
    </row>
    <row r="1500" spans="4:8" ht="12.75">
      <c r="D1500" s="3"/>
      <c r="E1500" s="8"/>
      <c r="F1500" s="1"/>
      <c r="H1500" s="13"/>
    </row>
    <row r="1501" spans="4:8" ht="12.75">
      <c r="D1501" s="3"/>
      <c r="E1501" s="8"/>
      <c r="F1501" s="1"/>
      <c r="H1501" s="13"/>
    </row>
    <row r="1502" spans="4:8" ht="12.75">
      <c r="D1502" s="3"/>
      <c r="E1502" s="8"/>
      <c r="F1502" s="1"/>
      <c r="H1502" s="13"/>
    </row>
    <row r="1503" spans="4:8" ht="12.75">
      <c r="D1503" s="3"/>
      <c r="E1503" s="8"/>
      <c r="F1503" s="1"/>
      <c r="H1503" s="13"/>
    </row>
    <row r="1504" spans="4:8" ht="12.75">
      <c r="D1504" s="3"/>
      <c r="E1504" s="8"/>
      <c r="F1504" s="1"/>
      <c r="H1504" s="13"/>
    </row>
    <row r="1505" spans="4:8" ht="12.75">
      <c r="D1505" s="3"/>
      <c r="E1505" s="8"/>
      <c r="F1505" s="1"/>
      <c r="H1505" s="13"/>
    </row>
    <row r="1506" spans="4:8" ht="12.75">
      <c r="D1506" s="3"/>
      <c r="E1506" s="8"/>
      <c r="F1506" s="1"/>
      <c r="H1506" s="13"/>
    </row>
    <row r="1507" spans="4:8" ht="12.75">
      <c r="D1507" s="3"/>
      <c r="E1507" s="8"/>
      <c r="F1507" s="1"/>
      <c r="H1507" s="13"/>
    </row>
    <row r="1508" spans="4:8" ht="12.75">
      <c r="D1508" s="3"/>
      <c r="E1508" s="8"/>
      <c r="F1508" s="1"/>
      <c r="H1508" s="13"/>
    </row>
    <row r="1509" spans="4:8" ht="12.75">
      <c r="D1509" s="3"/>
      <c r="E1509" s="8"/>
      <c r="F1509" s="1"/>
      <c r="H1509" s="13"/>
    </row>
    <row r="1510" spans="4:8" ht="12.75">
      <c r="D1510" s="3"/>
      <c r="E1510" s="8"/>
      <c r="F1510" s="1"/>
      <c r="H1510" s="13"/>
    </row>
    <row r="1511" spans="4:8" ht="12.75">
      <c r="D1511" s="3"/>
      <c r="E1511" s="8"/>
      <c r="F1511" s="1"/>
      <c r="H1511" s="13"/>
    </row>
    <row r="1512" spans="4:8" ht="12.75">
      <c r="D1512" s="3"/>
      <c r="E1512" s="8"/>
      <c r="F1512" s="1"/>
      <c r="H1512" s="13"/>
    </row>
    <row r="1513" spans="4:8" ht="12.75">
      <c r="D1513" s="3"/>
      <c r="E1513" s="8"/>
      <c r="F1513" s="1"/>
      <c r="H1513" s="13"/>
    </row>
    <row r="1514" spans="4:8" ht="12.75">
      <c r="D1514" s="3"/>
      <c r="E1514" s="8"/>
      <c r="F1514" s="1"/>
      <c r="H1514" s="13"/>
    </row>
    <row r="1515" spans="4:8" ht="12.75">
      <c r="D1515" s="3"/>
      <c r="E1515" s="8"/>
      <c r="F1515" s="1"/>
      <c r="H1515" s="13"/>
    </row>
    <row r="1516" spans="4:8" ht="12.75">
      <c r="D1516" s="3"/>
      <c r="E1516" s="8"/>
      <c r="F1516" s="1"/>
      <c r="H1516" s="13"/>
    </row>
    <row r="1517" spans="4:8" ht="12.75">
      <c r="D1517" s="3"/>
      <c r="E1517" s="8"/>
      <c r="F1517" s="1"/>
      <c r="H1517" s="13"/>
    </row>
    <row r="1518" spans="4:8" ht="12.75">
      <c r="D1518" s="3"/>
      <c r="E1518" s="8"/>
      <c r="F1518" s="1"/>
      <c r="H1518" s="13"/>
    </row>
    <row r="1519" spans="4:8" ht="12.75">
      <c r="D1519" s="3"/>
      <c r="E1519" s="8"/>
      <c r="F1519" s="1"/>
      <c r="H1519" s="13"/>
    </row>
    <row r="1520" spans="4:8" ht="12.75">
      <c r="D1520" s="3"/>
      <c r="E1520" s="8"/>
      <c r="F1520" s="1"/>
      <c r="H1520" s="13"/>
    </row>
    <row r="1521" spans="4:8" ht="12.75">
      <c r="D1521" s="3"/>
      <c r="E1521" s="8"/>
      <c r="F1521" s="1"/>
      <c r="H1521" s="13"/>
    </row>
    <row r="1522" spans="4:8" ht="12.75">
      <c r="D1522" s="3"/>
      <c r="E1522" s="8"/>
      <c r="F1522" s="1"/>
      <c r="H1522" s="13"/>
    </row>
    <row r="1523" spans="4:8" ht="12.75">
      <c r="D1523" s="3"/>
      <c r="E1523" s="8"/>
      <c r="F1523" s="1"/>
      <c r="H1523" s="13"/>
    </row>
    <row r="1524" spans="4:8" ht="12.75">
      <c r="D1524" s="3"/>
      <c r="E1524" s="8"/>
      <c r="F1524" s="1"/>
      <c r="H1524" s="13"/>
    </row>
    <row r="1525" spans="4:8" ht="12.75">
      <c r="D1525" s="3"/>
      <c r="E1525" s="8"/>
      <c r="F1525" s="1"/>
      <c r="H1525" s="13"/>
    </row>
    <row r="1526" spans="4:8" ht="12.75">
      <c r="D1526" s="3"/>
      <c r="E1526" s="8"/>
      <c r="F1526" s="1"/>
      <c r="H1526" s="13"/>
    </row>
    <row r="1527" spans="4:8" ht="12.75">
      <c r="D1527" s="3"/>
      <c r="E1527" s="8"/>
      <c r="F1527" s="1"/>
      <c r="H1527" s="13"/>
    </row>
    <row r="1528" spans="4:8" ht="12.75">
      <c r="D1528" s="3"/>
      <c r="E1528" s="8"/>
      <c r="F1528" s="1"/>
      <c r="H1528" s="13"/>
    </row>
    <row r="1529" spans="4:8" ht="12.75">
      <c r="D1529" s="3"/>
      <c r="E1529" s="8"/>
      <c r="F1529" s="1"/>
      <c r="H1529" s="13"/>
    </row>
    <row r="1530" spans="4:8" ht="12.75">
      <c r="D1530" s="3"/>
      <c r="E1530" s="8"/>
      <c r="F1530" s="1"/>
      <c r="H1530" s="13"/>
    </row>
    <row r="1531" spans="4:8" ht="12.75">
      <c r="D1531" s="3"/>
      <c r="E1531" s="8"/>
      <c r="F1531" s="1"/>
      <c r="H1531" s="13"/>
    </row>
    <row r="1532" spans="4:8" ht="12.75">
      <c r="D1532" s="3"/>
      <c r="E1532" s="8"/>
      <c r="F1532" s="1"/>
      <c r="H1532" s="13"/>
    </row>
    <row r="1533" spans="4:8" ht="12.75">
      <c r="D1533" s="3"/>
      <c r="E1533" s="8"/>
      <c r="F1533" s="1"/>
      <c r="H1533" s="13"/>
    </row>
    <row r="1534" spans="4:8" ht="12.75">
      <c r="D1534" s="3"/>
      <c r="E1534" s="8"/>
      <c r="F1534" s="1"/>
      <c r="H1534" s="13"/>
    </row>
    <row r="1535" spans="4:8" ht="12.75">
      <c r="D1535" s="3"/>
      <c r="E1535" s="8"/>
      <c r="F1535" s="1"/>
      <c r="H1535" s="13"/>
    </row>
    <row r="1536" spans="4:8" ht="12.75">
      <c r="D1536" s="3"/>
      <c r="E1536" s="8"/>
      <c r="F1536" s="1"/>
      <c r="H1536" s="13"/>
    </row>
    <row r="1537" spans="4:8" ht="12.75">
      <c r="D1537" s="3"/>
      <c r="E1537" s="8"/>
      <c r="F1537" s="1"/>
      <c r="H1537" s="13"/>
    </row>
    <row r="1538" spans="4:8" ht="12.75">
      <c r="D1538" s="3"/>
      <c r="E1538" s="8"/>
      <c r="F1538" s="1"/>
      <c r="H1538" s="13"/>
    </row>
    <row r="1539" spans="4:8" ht="12.75">
      <c r="D1539" s="3"/>
      <c r="E1539" s="8"/>
      <c r="F1539" s="1"/>
      <c r="H1539" s="13"/>
    </row>
    <row r="1540" spans="4:8" ht="12.75">
      <c r="D1540" s="3"/>
      <c r="E1540" s="8"/>
      <c r="F1540" s="1"/>
      <c r="H1540" s="13"/>
    </row>
    <row r="1541" spans="4:8" ht="12.75">
      <c r="D1541" s="3"/>
      <c r="E1541" s="8"/>
      <c r="F1541" s="1"/>
      <c r="H1541" s="13"/>
    </row>
    <row r="1542" spans="4:8" ht="12.75">
      <c r="D1542" s="3"/>
      <c r="E1542" s="8"/>
      <c r="F1542" s="1"/>
      <c r="H1542" s="13"/>
    </row>
    <row r="1543" spans="4:8" ht="12.75">
      <c r="D1543" s="3"/>
      <c r="E1543" s="8"/>
      <c r="F1543" s="1"/>
      <c r="H1543" s="13"/>
    </row>
    <row r="1544" spans="4:8" ht="12.75">
      <c r="D1544" s="3"/>
      <c r="E1544" s="8"/>
      <c r="F1544" s="1"/>
      <c r="H1544" s="13"/>
    </row>
    <row r="1545" spans="4:8" ht="12.75">
      <c r="D1545" s="3"/>
      <c r="E1545" s="8"/>
      <c r="F1545" s="1"/>
      <c r="H1545" s="13"/>
    </row>
    <row r="1546" spans="4:8" ht="12.75">
      <c r="D1546" s="3"/>
      <c r="E1546" s="8"/>
      <c r="F1546" s="1"/>
      <c r="H1546" s="13"/>
    </row>
    <row r="1547" spans="4:8" ht="12.75">
      <c r="D1547" s="3"/>
      <c r="E1547" s="8"/>
      <c r="F1547" s="1"/>
      <c r="H1547" s="13"/>
    </row>
    <row r="1548" spans="4:8" ht="12.75">
      <c r="D1548" s="3"/>
      <c r="E1548" s="8"/>
      <c r="F1548" s="1"/>
      <c r="H1548" s="13"/>
    </row>
    <row r="1549" spans="4:8" ht="12.75">
      <c r="D1549" s="3"/>
      <c r="E1549" s="8"/>
      <c r="F1549" s="1"/>
      <c r="H1549" s="13"/>
    </row>
    <row r="1550" spans="4:8" ht="12.75">
      <c r="D1550" s="3"/>
      <c r="E1550" s="8"/>
      <c r="F1550" s="1"/>
      <c r="H1550" s="13"/>
    </row>
    <row r="1551" spans="4:8" ht="12.75">
      <c r="D1551" s="3"/>
      <c r="E1551" s="8"/>
      <c r="F1551" s="1"/>
      <c r="H1551" s="13"/>
    </row>
    <row r="1552" spans="4:8" ht="12.75">
      <c r="D1552" s="3"/>
      <c r="E1552" s="8"/>
      <c r="F1552" s="1"/>
      <c r="H1552" s="13"/>
    </row>
    <row r="1553" spans="4:8" ht="12.75">
      <c r="D1553" s="3"/>
      <c r="E1553" s="8"/>
      <c r="F1553" s="1"/>
      <c r="H1553" s="13"/>
    </row>
    <row r="1554" spans="4:8" ht="12.75">
      <c r="D1554" s="3"/>
      <c r="E1554" s="8"/>
      <c r="F1554" s="1"/>
      <c r="H1554" s="13"/>
    </row>
    <row r="1555" spans="4:8" ht="12.75">
      <c r="D1555" s="3"/>
      <c r="E1555" s="8"/>
      <c r="F1555" s="1"/>
      <c r="H1555" s="13"/>
    </row>
    <row r="1556" spans="4:8" ht="12.75">
      <c r="D1556" s="3"/>
      <c r="E1556" s="8"/>
      <c r="F1556" s="1"/>
      <c r="H1556" s="13"/>
    </row>
    <row r="1557" spans="4:8" ht="12.75">
      <c r="D1557" s="3"/>
      <c r="E1557" s="8"/>
      <c r="F1557" s="1"/>
      <c r="H1557" s="13"/>
    </row>
    <row r="1558" spans="4:8" ht="12.75">
      <c r="D1558" s="3"/>
      <c r="E1558" s="8"/>
      <c r="F1558" s="1"/>
      <c r="H1558" s="13"/>
    </row>
    <row r="1559" spans="4:8" ht="12.75">
      <c r="D1559" s="3"/>
      <c r="E1559" s="8"/>
      <c r="F1559" s="1"/>
      <c r="H1559" s="13"/>
    </row>
    <row r="1560" spans="4:8" ht="12.75">
      <c r="D1560" s="3"/>
      <c r="E1560" s="8"/>
      <c r="F1560" s="1"/>
      <c r="H1560" s="13"/>
    </row>
    <row r="1561" spans="4:8" ht="12.75">
      <c r="D1561" s="3"/>
      <c r="E1561" s="8"/>
      <c r="F1561" s="1"/>
      <c r="H1561" s="13"/>
    </row>
    <row r="1562" spans="4:8" ht="12.75">
      <c r="D1562" s="3"/>
      <c r="E1562" s="8"/>
      <c r="F1562" s="1"/>
      <c r="H1562" s="13"/>
    </row>
    <row r="1563" spans="4:8" ht="12.75">
      <c r="D1563" s="3"/>
      <c r="E1563" s="8"/>
      <c r="F1563" s="1"/>
      <c r="H1563" s="13"/>
    </row>
    <row r="1564" spans="4:8" ht="12.75">
      <c r="D1564" s="3"/>
      <c r="E1564" s="8"/>
      <c r="F1564" s="1"/>
      <c r="H1564" s="13"/>
    </row>
    <row r="1565" spans="4:8" ht="12.75">
      <c r="D1565" s="3"/>
      <c r="E1565" s="8"/>
      <c r="F1565" s="1"/>
      <c r="H1565" s="13"/>
    </row>
    <row r="1566" spans="4:8" ht="12.75">
      <c r="D1566" s="3"/>
      <c r="E1566" s="8"/>
      <c r="F1566" s="1"/>
      <c r="H1566" s="13"/>
    </row>
    <row r="1567" spans="4:8" ht="12.75">
      <c r="D1567" s="3"/>
      <c r="E1567" s="8"/>
      <c r="F1567" s="1"/>
      <c r="H1567" s="13"/>
    </row>
    <row r="1568" spans="4:8" ht="12.75">
      <c r="D1568" s="3"/>
      <c r="E1568" s="8"/>
      <c r="F1568" s="1"/>
      <c r="H1568" s="13"/>
    </row>
    <row r="1569" spans="4:8" ht="12.75">
      <c r="D1569" s="3"/>
      <c r="E1569" s="8"/>
      <c r="F1569" s="1"/>
      <c r="H1569" s="13"/>
    </row>
    <row r="1570" spans="4:8" ht="12.75">
      <c r="D1570" s="3"/>
      <c r="E1570" s="8"/>
      <c r="F1570" s="1"/>
      <c r="H1570" s="13"/>
    </row>
    <row r="1571" spans="4:8" ht="12.75">
      <c r="D1571" s="3"/>
      <c r="E1571" s="8"/>
      <c r="F1571" s="1"/>
      <c r="H1571" s="13"/>
    </row>
    <row r="1572" spans="4:8" ht="12.75">
      <c r="D1572" s="3"/>
      <c r="E1572" s="8"/>
      <c r="F1572" s="1"/>
      <c r="H1572" s="13"/>
    </row>
    <row r="1573" spans="4:8" ht="12.75">
      <c r="D1573" s="3"/>
      <c r="E1573" s="8"/>
      <c r="F1573" s="1"/>
      <c r="H1573" s="13"/>
    </row>
    <row r="1574" spans="4:8" ht="12.75">
      <c r="D1574" s="3"/>
      <c r="E1574" s="8"/>
      <c r="F1574" s="1"/>
      <c r="H1574" s="13"/>
    </row>
    <row r="1575" spans="4:8" ht="12.75">
      <c r="D1575" s="3"/>
      <c r="E1575" s="8"/>
      <c r="F1575" s="1"/>
      <c r="H1575" s="13"/>
    </row>
    <row r="1576" spans="4:8" ht="12.75">
      <c r="D1576" s="3"/>
      <c r="E1576" s="8"/>
      <c r="F1576" s="1"/>
      <c r="H1576" s="13"/>
    </row>
    <row r="1577" spans="4:8" ht="12.75">
      <c r="D1577" s="3"/>
      <c r="E1577" s="8"/>
      <c r="F1577" s="1"/>
      <c r="H1577" s="13"/>
    </row>
    <row r="1578" spans="4:8" ht="12.75">
      <c r="D1578" s="3"/>
      <c r="E1578" s="8"/>
      <c r="F1578" s="1"/>
      <c r="H1578" s="13"/>
    </row>
    <row r="1579" spans="4:8" ht="12.75">
      <c r="D1579" s="3"/>
      <c r="E1579" s="8"/>
      <c r="F1579" s="1"/>
      <c r="H1579" s="13"/>
    </row>
    <row r="1580" spans="4:8" ht="12.75">
      <c r="D1580" s="3"/>
      <c r="E1580" s="8"/>
      <c r="F1580" s="1"/>
      <c r="H1580" s="13"/>
    </row>
    <row r="1581" spans="4:8" ht="12.75">
      <c r="D1581" s="3"/>
      <c r="E1581" s="8"/>
      <c r="F1581" s="1"/>
      <c r="H1581" s="13"/>
    </row>
    <row r="1582" spans="4:8" ht="12.75">
      <c r="D1582" s="3"/>
      <c r="E1582" s="8"/>
      <c r="F1582" s="1"/>
      <c r="H1582" s="13"/>
    </row>
    <row r="1583" spans="4:8" ht="12.75">
      <c r="D1583" s="3"/>
      <c r="E1583" s="8"/>
      <c r="F1583" s="1"/>
      <c r="H1583" s="13"/>
    </row>
    <row r="1584" spans="4:8" ht="12.75">
      <c r="D1584" s="3"/>
      <c r="E1584" s="8"/>
      <c r="F1584" s="1"/>
      <c r="H1584" s="13"/>
    </row>
    <row r="1585" spans="4:8" ht="12.75">
      <c r="D1585" s="3"/>
      <c r="E1585" s="8"/>
      <c r="F1585" s="1"/>
      <c r="H1585" s="13"/>
    </row>
    <row r="1586" spans="4:8" ht="12.75">
      <c r="D1586" s="3"/>
      <c r="E1586" s="8"/>
      <c r="F1586" s="1"/>
      <c r="H1586" s="13"/>
    </row>
    <row r="1587" spans="4:8" ht="12.75">
      <c r="D1587" s="3"/>
      <c r="E1587" s="8"/>
      <c r="F1587" s="1"/>
      <c r="H1587" s="13"/>
    </row>
    <row r="1588" spans="4:8" ht="12.75">
      <c r="D1588" s="3"/>
      <c r="E1588" s="8"/>
      <c r="F1588" s="1"/>
      <c r="H1588" s="13"/>
    </row>
    <row r="1589" spans="4:8" ht="12.75">
      <c r="D1589" s="3"/>
      <c r="E1589" s="8"/>
      <c r="F1589" s="1"/>
      <c r="H1589" s="13"/>
    </row>
    <row r="1590" spans="4:8" ht="12.75">
      <c r="D1590" s="3"/>
      <c r="E1590" s="8"/>
      <c r="F1590" s="1"/>
      <c r="H1590" s="13"/>
    </row>
    <row r="1591" spans="4:8" ht="12.75">
      <c r="D1591" s="3"/>
      <c r="E1591" s="8"/>
      <c r="F1591" s="1"/>
      <c r="H1591" s="13"/>
    </row>
    <row r="1592" spans="4:8" ht="12.75">
      <c r="D1592" s="3"/>
      <c r="E1592" s="8"/>
      <c r="F1592" s="1"/>
      <c r="H1592" s="13"/>
    </row>
    <row r="1593" spans="4:8" ht="12.75">
      <c r="D1593" s="3"/>
      <c r="E1593" s="8"/>
      <c r="F1593" s="1"/>
      <c r="H1593" s="13"/>
    </row>
    <row r="1594" spans="4:8" ht="12.75">
      <c r="D1594" s="3"/>
      <c r="E1594" s="8"/>
      <c r="F1594" s="1"/>
      <c r="H1594" s="13"/>
    </row>
    <row r="1595" spans="4:8" ht="12.75">
      <c r="D1595" s="3"/>
      <c r="E1595" s="8"/>
      <c r="F1595" s="1"/>
      <c r="H1595" s="13"/>
    </row>
    <row r="1596" spans="4:8" ht="12.75">
      <c r="D1596" s="3"/>
      <c r="E1596" s="8"/>
      <c r="F1596" s="1"/>
      <c r="H1596" s="13"/>
    </row>
    <row r="1597" spans="4:8" ht="12.75">
      <c r="D1597" s="3"/>
      <c r="E1597" s="8"/>
      <c r="F1597" s="1"/>
      <c r="H1597" s="13"/>
    </row>
    <row r="1598" spans="4:8" ht="12.75">
      <c r="D1598" s="3"/>
      <c r="E1598" s="8"/>
      <c r="F1598" s="1"/>
      <c r="H1598" s="13"/>
    </row>
    <row r="1599" spans="4:8" ht="12.75">
      <c r="D1599" s="3"/>
      <c r="E1599" s="8"/>
      <c r="F1599" s="1"/>
      <c r="H1599" s="13"/>
    </row>
    <row r="1600" spans="4:8" ht="12.75">
      <c r="D1600" s="3"/>
      <c r="E1600" s="8"/>
      <c r="F1600" s="1"/>
      <c r="H1600" s="13"/>
    </row>
    <row r="1601" spans="4:8" ht="12.75">
      <c r="D1601" s="3"/>
      <c r="E1601" s="8"/>
      <c r="F1601" s="1"/>
      <c r="H1601" s="13"/>
    </row>
    <row r="1602" spans="4:8" ht="12.75">
      <c r="D1602" s="3"/>
      <c r="E1602" s="8"/>
      <c r="F1602" s="1"/>
      <c r="H1602" s="13"/>
    </row>
    <row r="1603" spans="4:8" ht="12.75">
      <c r="D1603" s="3"/>
      <c r="E1603" s="8"/>
      <c r="F1603" s="1"/>
      <c r="H1603" s="13"/>
    </row>
    <row r="1604" spans="4:8" ht="12.75">
      <c r="D1604" s="3"/>
      <c r="E1604" s="8"/>
      <c r="F1604" s="1"/>
      <c r="H1604" s="13"/>
    </row>
    <row r="1605" spans="4:8" ht="12.75">
      <c r="D1605" s="3"/>
      <c r="E1605" s="8"/>
      <c r="F1605" s="1"/>
      <c r="H1605" s="13"/>
    </row>
    <row r="1606" spans="4:8" ht="12.75">
      <c r="D1606" s="3"/>
      <c r="E1606" s="8"/>
      <c r="F1606" s="1"/>
      <c r="H1606" s="13"/>
    </row>
    <row r="1607" spans="4:8" ht="12.75">
      <c r="D1607" s="3"/>
      <c r="E1607" s="8"/>
      <c r="F1607" s="1"/>
      <c r="H1607" s="13"/>
    </row>
    <row r="1608" spans="4:8" ht="12.75">
      <c r="D1608" s="3"/>
      <c r="E1608" s="8"/>
      <c r="F1608" s="1"/>
      <c r="H1608" s="13"/>
    </row>
    <row r="1609" spans="4:8" ht="12.75">
      <c r="D1609" s="3"/>
      <c r="E1609" s="8"/>
      <c r="F1609" s="1"/>
      <c r="H1609" s="13"/>
    </row>
    <row r="1610" spans="4:8" ht="12.75">
      <c r="D1610" s="3"/>
      <c r="E1610" s="8"/>
      <c r="F1610" s="1"/>
      <c r="H1610" s="13"/>
    </row>
    <row r="1611" spans="4:8" ht="12.75">
      <c r="D1611" s="3"/>
      <c r="E1611" s="8"/>
      <c r="F1611" s="1"/>
      <c r="H1611" s="13"/>
    </row>
    <row r="1612" spans="4:8" ht="12.75">
      <c r="D1612" s="3"/>
      <c r="E1612" s="8"/>
      <c r="F1612" s="1"/>
      <c r="H1612" s="13"/>
    </row>
    <row r="1613" spans="4:8" ht="12.75">
      <c r="D1613" s="3"/>
      <c r="E1613" s="8"/>
      <c r="F1613" s="1"/>
      <c r="H1613" s="13"/>
    </row>
    <row r="1614" spans="4:8" ht="12.75">
      <c r="D1614" s="3"/>
      <c r="E1614" s="8"/>
      <c r="F1614" s="1"/>
      <c r="H1614" s="13"/>
    </row>
    <row r="1615" spans="4:8" ht="12.75">
      <c r="D1615" s="3"/>
      <c r="E1615" s="8"/>
      <c r="F1615" s="1"/>
      <c r="H1615" s="13"/>
    </row>
    <row r="1616" spans="4:8" ht="12.75">
      <c r="D1616" s="3"/>
      <c r="E1616" s="8"/>
      <c r="F1616" s="1"/>
      <c r="H1616" s="13"/>
    </row>
    <row r="1617" spans="4:8" ht="12.75">
      <c r="D1617" s="3"/>
      <c r="E1617" s="8"/>
      <c r="F1617" s="1"/>
      <c r="H1617" s="13"/>
    </row>
    <row r="1618" spans="4:8" ht="12.75">
      <c r="D1618" s="3"/>
      <c r="E1618" s="8"/>
      <c r="F1618" s="1"/>
      <c r="H1618" s="13"/>
    </row>
    <row r="1619" spans="4:8" ht="12.75">
      <c r="D1619" s="3"/>
      <c r="E1619" s="8"/>
      <c r="F1619" s="1"/>
      <c r="H1619" s="13"/>
    </row>
    <row r="1620" spans="4:8" ht="12.75">
      <c r="D1620" s="3"/>
      <c r="E1620" s="8"/>
      <c r="F1620" s="1"/>
      <c r="H1620" s="13"/>
    </row>
    <row r="1621" spans="4:8" ht="12.75">
      <c r="D1621" s="3"/>
      <c r="E1621" s="8"/>
      <c r="F1621" s="1"/>
      <c r="H1621" s="13"/>
    </row>
    <row r="1622" spans="4:8" ht="12.75">
      <c r="D1622" s="3"/>
      <c r="E1622" s="8"/>
      <c r="F1622" s="1"/>
      <c r="H1622" s="13"/>
    </row>
    <row r="1623" spans="4:8" ht="12.75">
      <c r="D1623" s="3"/>
      <c r="E1623" s="8"/>
      <c r="F1623" s="1"/>
      <c r="H1623" s="13"/>
    </row>
    <row r="1624" spans="4:8" ht="12.75">
      <c r="D1624" s="3"/>
      <c r="E1624" s="8"/>
      <c r="F1624" s="1"/>
      <c r="H1624" s="13"/>
    </row>
    <row r="1625" spans="4:8" ht="12.75">
      <c r="D1625" s="3"/>
      <c r="E1625" s="8"/>
      <c r="F1625" s="1"/>
      <c r="H1625" s="13"/>
    </row>
    <row r="1626" spans="4:8" ht="12.75">
      <c r="D1626" s="3"/>
      <c r="E1626" s="8"/>
      <c r="F1626" s="1"/>
      <c r="H1626" s="13"/>
    </row>
    <row r="1627" spans="4:8" ht="12.75">
      <c r="D1627" s="3"/>
      <c r="E1627" s="8"/>
      <c r="F1627" s="1"/>
      <c r="H1627" s="13"/>
    </row>
    <row r="1628" spans="4:8" ht="12.75">
      <c r="D1628" s="3"/>
      <c r="E1628" s="8"/>
      <c r="F1628" s="1"/>
      <c r="H1628" s="13"/>
    </row>
    <row r="1629" spans="4:8" ht="12.75">
      <c r="D1629" s="3"/>
      <c r="E1629" s="8"/>
      <c r="F1629" s="1"/>
      <c r="H1629" s="13"/>
    </row>
    <row r="1630" spans="4:8" ht="12.75">
      <c r="D1630" s="3"/>
      <c r="E1630" s="8"/>
      <c r="F1630" s="1"/>
      <c r="H1630" s="13"/>
    </row>
    <row r="1631" spans="4:8" ht="12.75">
      <c r="D1631" s="3"/>
      <c r="E1631" s="8"/>
      <c r="F1631" s="1"/>
      <c r="H1631" s="13"/>
    </row>
    <row r="1632" spans="4:8" ht="12.75">
      <c r="D1632" s="3"/>
      <c r="E1632" s="8"/>
      <c r="F1632" s="1"/>
      <c r="H1632" s="13"/>
    </row>
    <row r="1633" spans="4:8" ht="12.75">
      <c r="D1633" s="3"/>
      <c r="E1633" s="8"/>
      <c r="F1633" s="1"/>
      <c r="H1633" s="13"/>
    </row>
    <row r="1634" spans="4:8" ht="12.75">
      <c r="D1634" s="3"/>
      <c r="E1634" s="8"/>
      <c r="F1634" s="1"/>
      <c r="H1634" s="13"/>
    </row>
    <row r="1635" spans="4:8" ht="12.75">
      <c r="D1635" s="3"/>
      <c r="E1635" s="8"/>
      <c r="F1635" s="1"/>
      <c r="H1635" s="13"/>
    </row>
    <row r="1636" spans="4:8" ht="12.75">
      <c r="D1636" s="3"/>
      <c r="E1636" s="8"/>
      <c r="F1636" s="1"/>
      <c r="H1636" s="13"/>
    </row>
    <row r="1637" spans="4:8" ht="12.75">
      <c r="D1637" s="3"/>
      <c r="E1637" s="8"/>
      <c r="F1637" s="1"/>
      <c r="H1637" s="13"/>
    </row>
    <row r="1638" spans="4:8" ht="12.75">
      <c r="D1638" s="3"/>
      <c r="E1638" s="8"/>
      <c r="F1638" s="1"/>
      <c r="H1638" s="13"/>
    </row>
    <row r="1639" spans="4:8" ht="12.75">
      <c r="D1639" s="3"/>
      <c r="E1639" s="8"/>
      <c r="F1639" s="1"/>
      <c r="H1639" s="13"/>
    </row>
    <row r="1640" spans="4:8" ht="12.75">
      <c r="D1640" s="3"/>
      <c r="E1640" s="8"/>
      <c r="F1640" s="1"/>
      <c r="H1640" s="13"/>
    </row>
    <row r="1641" spans="4:8" ht="12.75">
      <c r="D1641" s="3"/>
      <c r="E1641" s="8"/>
      <c r="F1641" s="1"/>
      <c r="H1641" s="13"/>
    </row>
    <row r="1642" spans="4:8" ht="12.75">
      <c r="D1642" s="3"/>
      <c r="E1642" s="8"/>
      <c r="F1642" s="1"/>
      <c r="H1642" s="13"/>
    </row>
    <row r="1643" spans="4:8" ht="12.75">
      <c r="D1643" s="3"/>
      <c r="E1643" s="8"/>
      <c r="F1643" s="1"/>
      <c r="H1643" s="13"/>
    </row>
    <row r="1644" spans="4:8" ht="12.75">
      <c r="D1644" s="3"/>
      <c r="E1644" s="8"/>
      <c r="F1644" s="1"/>
      <c r="H1644" s="13"/>
    </row>
    <row r="1645" spans="4:8" ht="12.75">
      <c r="D1645" s="3"/>
      <c r="E1645" s="8"/>
      <c r="F1645" s="1"/>
      <c r="H1645" s="13"/>
    </row>
    <row r="1646" spans="4:8" ht="12.75">
      <c r="D1646" s="3"/>
      <c r="E1646" s="8"/>
      <c r="F1646" s="1"/>
      <c r="H1646" s="13"/>
    </row>
    <row r="1647" spans="4:8" ht="12.75">
      <c r="D1647" s="3"/>
      <c r="E1647" s="8"/>
      <c r="F1647" s="1"/>
      <c r="H1647" s="13"/>
    </row>
    <row r="1648" spans="4:8" ht="12.75">
      <c r="D1648" s="3"/>
      <c r="E1648" s="8"/>
      <c r="F1648" s="1"/>
      <c r="H1648" s="13"/>
    </row>
    <row r="1649" spans="4:8" ht="12.75">
      <c r="D1649" s="3"/>
      <c r="E1649" s="8"/>
      <c r="F1649" s="1"/>
      <c r="H1649" s="13"/>
    </row>
    <row r="1650" spans="4:8" ht="12.75">
      <c r="D1650" s="3"/>
      <c r="E1650" s="8"/>
      <c r="F1650" s="1"/>
      <c r="H1650" s="13"/>
    </row>
    <row r="1651" spans="4:8" ht="12.75">
      <c r="D1651" s="3"/>
      <c r="E1651" s="8"/>
      <c r="F1651" s="1"/>
      <c r="H1651" s="13"/>
    </row>
    <row r="1652" spans="4:8" ht="12.75">
      <c r="D1652" s="3"/>
      <c r="E1652" s="8"/>
      <c r="F1652" s="1"/>
      <c r="H1652" s="13"/>
    </row>
    <row r="1653" spans="4:8" ht="12.75">
      <c r="D1653" s="3"/>
      <c r="E1653" s="8"/>
      <c r="F1653" s="1"/>
      <c r="H1653" s="13"/>
    </row>
    <row r="1654" spans="4:8" ht="12.75">
      <c r="D1654" s="3"/>
      <c r="E1654" s="8"/>
      <c r="F1654" s="1"/>
      <c r="H1654" s="13"/>
    </row>
    <row r="1655" spans="4:8" ht="12.75">
      <c r="D1655" s="3"/>
      <c r="E1655" s="8"/>
      <c r="F1655" s="1"/>
      <c r="H1655" s="13"/>
    </row>
    <row r="1656" spans="4:8" ht="12.75">
      <c r="D1656" s="3"/>
      <c r="E1656" s="8"/>
      <c r="F1656" s="1"/>
      <c r="H1656" s="13"/>
    </row>
    <row r="1657" spans="4:8" ht="12.75">
      <c r="D1657" s="3"/>
      <c r="E1657" s="8"/>
      <c r="F1657" s="1"/>
      <c r="H1657" s="13"/>
    </row>
    <row r="1658" spans="4:8" ht="12.75">
      <c r="D1658" s="3"/>
      <c r="E1658" s="8"/>
      <c r="F1658" s="1"/>
      <c r="H1658" s="13"/>
    </row>
    <row r="1659" spans="4:8" ht="12.75">
      <c r="D1659" s="3"/>
      <c r="E1659" s="8"/>
      <c r="F1659" s="1"/>
      <c r="H1659" s="13"/>
    </row>
    <row r="1660" spans="4:8" ht="12.75">
      <c r="D1660" s="3"/>
      <c r="E1660" s="8"/>
      <c r="F1660" s="1"/>
      <c r="H1660" s="13"/>
    </row>
    <row r="1661" spans="4:8" ht="12.75">
      <c r="D1661" s="3"/>
      <c r="E1661" s="8"/>
      <c r="F1661" s="1"/>
      <c r="H1661" s="13"/>
    </row>
    <row r="1662" spans="4:8" ht="12.75">
      <c r="D1662" s="3"/>
      <c r="E1662" s="8"/>
      <c r="F1662" s="1"/>
      <c r="H1662" s="13"/>
    </row>
    <row r="1663" spans="4:8" ht="12.75">
      <c r="D1663" s="3"/>
      <c r="E1663" s="8"/>
      <c r="F1663" s="1"/>
      <c r="H1663" s="13"/>
    </row>
    <row r="1664" spans="4:8" ht="12.75">
      <c r="D1664" s="3"/>
      <c r="E1664" s="8"/>
      <c r="F1664" s="1"/>
      <c r="H1664" s="13"/>
    </row>
    <row r="1665" spans="4:8" ht="12.75">
      <c r="D1665" s="3"/>
      <c r="E1665" s="8"/>
      <c r="F1665" s="1"/>
      <c r="H1665" s="13"/>
    </row>
    <row r="1666" spans="4:8" ht="12.75">
      <c r="D1666" s="3"/>
      <c r="E1666" s="8"/>
      <c r="F1666" s="1"/>
      <c r="H1666" s="13"/>
    </row>
    <row r="1667" spans="4:8" ht="12.75">
      <c r="D1667" s="3"/>
      <c r="E1667" s="8"/>
      <c r="F1667" s="1"/>
      <c r="H1667" s="13"/>
    </row>
    <row r="1668" spans="4:8" ht="12.75">
      <c r="D1668" s="3"/>
      <c r="E1668" s="8"/>
      <c r="F1668" s="1"/>
      <c r="H1668" s="13"/>
    </row>
    <row r="1669" spans="4:8" ht="12.75">
      <c r="D1669" s="3"/>
      <c r="E1669" s="8"/>
      <c r="F1669" s="1"/>
      <c r="H1669" s="13"/>
    </row>
    <row r="1670" spans="4:8" ht="12.75">
      <c r="D1670" s="3"/>
      <c r="E1670" s="8"/>
      <c r="F1670" s="1"/>
      <c r="H1670" s="13"/>
    </row>
    <row r="1671" spans="4:8" ht="12.75">
      <c r="D1671" s="3"/>
      <c r="E1671" s="8"/>
      <c r="F1671" s="1"/>
      <c r="H1671" s="13"/>
    </row>
    <row r="1672" spans="4:8" ht="12.75">
      <c r="D1672" s="3"/>
      <c r="E1672" s="8"/>
      <c r="F1672" s="1"/>
      <c r="H1672" s="13"/>
    </row>
    <row r="1673" spans="4:8" ht="12.75">
      <c r="D1673" s="3"/>
      <c r="E1673" s="8"/>
      <c r="F1673" s="1"/>
      <c r="H1673" s="13"/>
    </row>
    <row r="1674" spans="4:8" ht="12.75">
      <c r="D1674" s="3"/>
      <c r="E1674" s="8"/>
      <c r="F1674" s="1"/>
      <c r="H1674" s="13"/>
    </row>
    <row r="1675" spans="4:8" ht="12.75">
      <c r="D1675" s="3"/>
      <c r="E1675" s="8"/>
      <c r="F1675" s="1"/>
      <c r="H1675" s="13"/>
    </row>
    <row r="1676" spans="4:8" ht="12.75">
      <c r="D1676" s="3"/>
      <c r="E1676" s="8"/>
      <c r="F1676" s="1"/>
      <c r="H1676" s="13"/>
    </row>
    <row r="1677" spans="4:8" ht="12.75">
      <c r="D1677" s="3"/>
      <c r="E1677" s="8"/>
      <c r="F1677" s="1"/>
      <c r="H1677" s="13"/>
    </row>
    <row r="1678" spans="4:8" ht="12.75">
      <c r="D1678" s="3"/>
      <c r="E1678" s="8"/>
      <c r="F1678" s="1"/>
      <c r="H1678" s="13"/>
    </row>
    <row r="1679" spans="4:8" ht="12.75">
      <c r="D1679" s="3"/>
      <c r="E1679" s="8"/>
      <c r="F1679" s="1"/>
      <c r="H1679" s="13"/>
    </row>
    <row r="1680" spans="4:8" ht="12.75">
      <c r="D1680" s="3"/>
      <c r="E1680" s="8"/>
      <c r="F1680" s="1"/>
      <c r="H1680" s="13"/>
    </row>
    <row r="1681" spans="4:8" ht="12.75">
      <c r="D1681" s="3"/>
      <c r="E1681" s="8"/>
      <c r="F1681" s="1"/>
      <c r="H1681" s="13"/>
    </row>
    <row r="1682" spans="4:8" ht="12.75">
      <c r="D1682" s="3"/>
      <c r="E1682" s="8"/>
      <c r="F1682" s="1"/>
      <c r="H1682" s="13"/>
    </row>
    <row r="1683" spans="4:8" ht="12.75">
      <c r="D1683" s="3"/>
      <c r="E1683" s="8"/>
      <c r="F1683" s="1"/>
      <c r="H1683" s="13"/>
    </row>
    <row r="1684" spans="4:8" ht="12.75">
      <c r="D1684" s="3"/>
      <c r="E1684" s="8"/>
      <c r="F1684" s="1"/>
      <c r="H1684" s="13"/>
    </row>
    <row r="1685" spans="4:8" ht="12.75">
      <c r="D1685" s="3"/>
      <c r="E1685" s="8"/>
      <c r="F1685" s="1"/>
      <c r="H1685" s="13"/>
    </row>
    <row r="1686" spans="4:8" ht="12.75">
      <c r="D1686" s="3"/>
      <c r="E1686" s="8"/>
      <c r="F1686" s="1"/>
      <c r="H1686" s="13"/>
    </row>
    <row r="1687" spans="4:8" ht="12.75">
      <c r="D1687" s="3"/>
      <c r="E1687" s="8"/>
      <c r="F1687" s="1"/>
      <c r="H1687" s="13"/>
    </row>
    <row r="1688" spans="4:8" ht="12.75">
      <c r="D1688" s="3"/>
      <c r="E1688" s="8"/>
      <c r="F1688" s="1"/>
      <c r="H1688" s="13"/>
    </row>
    <row r="1689" spans="4:8" ht="12.75">
      <c r="D1689" s="3"/>
      <c r="E1689" s="8"/>
      <c r="F1689" s="1"/>
      <c r="H1689" s="13"/>
    </row>
    <row r="1690" spans="4:8" ht="12.75">
      <c r="D1690" s="3"/>
      <c r="E1690" s="8"/>
      <c r="F1690" s="1"/>
      <c r="H1690" s="13"/>
    </row>
    <row r="1691" spans="4:8" ht="12.75">
      <c r="D1691" s="3"/>
      <c r="E1691" s="8"/>
      <c r="F1691" s="1"/>
      <c r="H1691" s="13"/>
    </row>
    <row r="1692" spans="4:8" ht="12.75">
      <c r="D1692" s="3"/>
      <c r="E1692" s="8"/>
      <c r="F1692" s="1"/>
      <c r="H1692" s="13"/>
    </row>
    <row r="1693" spans="4:8" ht="12.75">
      <c r="D1693" s="3"/>
      <c r="E1693" s="8"/>
      <c r="F1693" s="1"/>
      <c r="H1693" s="13"/>
    </row>
    <row r="1694" spans="4:8" ht="12.75">
      <c r="D1694" s="3"/>
      <c r="E1694" s="8"/>
      <c r="F1694" s="1"/>
      <c r="H1694" s="13"/>
    </row>
    <row r="1695" spans="4:8" ht="12.75">
      <c r="D1695" s="3"/>
      <c r="E1695" s="8"/>
      <c r="F1695" s="1"/>
      <c r="H1695" s="13"/>
    </row>
    <row r="1696" spans="4:8" ht="12.75">
      <c r="D1696" s="3"/>
      <c r="E1696" s="8"/>
      <c r="F1696" s="1"/>
      <c r="H1696" s="13"/>
    </row>
    <row r="1697" spans="4:8" ht="12.75">
      <c r="D1697" s="3"/>
      <c r="E1697" s="8"/>
      <c r="F1697" s="1"/>
      <c r="H1697" s="13"/>
    </row>
    <row r="1698" spans="4:8" ht="12.75">
      <c r="D1698" s="3"/>
      <c r="E1698" s="8"/>
      <c r="F1698" s="1"/>
      <c r="H1698" s="13"/>
    </row>
    <row r="1699" spans="4:8" ht="12.75">
      <c r="D1699" s="3"/>
      <c r="E1699" s="8"/>
      <c r="F1699" s="1"/>
      <c r="H1699" s="13"/>
    </row>
    <row r="1700" spans="4:8" ht="12.75">
      <c r="D1700" s="3"/>
      <c r="E1700" s="8"/>
      <c r="F1700" s="1"/>
      <c r="H1700" s="13"/>
    </row>
    <row r="1701" spans="4:8" ht="12.75">
      <c r="D1701" s="3"/>
      <c r="E1701" s="8"/>
      <c r="F1701" s="1"/>
      <c r="H1701" s="13"/>
    </row>
    <row r="1702" spans="4:8" ht="12.75">
      <c r="D1702" s="3"/>
      <c r="E1702" s="8"/>
      <c r="F1702" s="1"/>
      <c r="H1702" s="13"/>
    </row>
    <row r="1703" spans="4:8" ht="12.75">
      <c r="D1703" s="3"/>
      <c r="E1703" s="8"/>
      <c r="F1703" s="1"/>
      <c r="H1703" s="13"/>
    </row>
    <row r="1704" spans="4:8" ht="12.75">
      <c r="D1704" s="3"/>
      <c r="E1704" s="8"/>
      <c r="F1704" s="1"/>
      <c r="H1704" s="13"/>
    </row>
    <row r="1705" spans="4:8" ht="12.75">
      <c r="D1705" s="3"/>
      <c r="E1705" s="8"/>
      <c r="F1705" s="1"/>
      <c r="H1705" s="13"/>
    </row>
    <row r="1706" spans="4:8" ht="12.75">
      <c r="D1706" s="3"/>
      <c r="E1706" s="8"/>
      <c r="F1706" s="1"/>
      <c r="H1706" s="13"/>
    </row>
    <row r="1707" spans="4:8" ht="12.75">
      <c r="D1707" s="3"/>
      <c r="E1707" s="8"/>
      <c r="F1707" s="1"/>
      <c r="H1707" s="13"/>
    </row>
    <row r="1708" spans="4:8" ht="12.75">
      <c r="D1708" s="3"/>
      <c r="E1708" s="8"/>
      <c r="F1708" s="1"/>
      <c r="H1708" s="13"/>
    </row>
    <row r="1709" spans="4:8" ht="12.75">
      <c r="D1709" s="3"/>
      <c r="E1709" s="8"/>
      <c r="F1709" s="1"/>
      <c r="H1709" s="13"/>
    </row>
    <row r="1710" spans="4:8" ht="12.75">
      <c r="D1710" s="3"/>
      <c r="E1710" s="8"/>
      <c r="F1710" s="1"/>
      <c r="H1710" s="13"/>
    </row>
    <row r="1711" spans="4:8" ht="12.75">
      <c r="D1711" s="3"/>
      <c r="E1711" s="8"/>
      <c r="F1711" s="1"/>
      <c r="H1711" s="13"/>
    </row>
    <row r="1712" spans="4:8" ht="12.75">
      <c r="D1712" s="3"/>
      <c r="E1712" s="8"/>
      <c r="F1712" s="1"/>
      <c r="H1712" s="13"/>
    </row>
    <row r="1713" spans="4:8" ht="12.75">
      <c r="D1713" s="3"/>
      <c r="E1713" s="8"/>
      <c r="F1713" s="1"/>
      <c r="H1713" s="13"/>
    </row>
    <row r="1714" spans="4:8" ht="12.75">
      <c r="D1714" s="3"/>
      <c r="E1714" s="8"/>
      <c r="F1714" s="1"/>
      <c r="H1714" s="13"/>
    </row>
    <row r="1715" spans="4:8" ht="12.75">
      <c r="D1715" s="3"/>
      <c r="E1715" s="8"/>
      <c r="F1715" s="1"/>
      <c r="H1715" s="13"/>
    </row>
    <row r="1716" spans="4:8" ht="12.75">
      <c r="D1716" s="3"/>
      <c r="E1716" s="8"/>
      <c r="F1716" s="1"/>
      <c r="H1716" s="13"/>
    </row>
    <row r="1717" spans="4:8" ht="12.75">
      <c r="D1717" s="3"/>
      <c r="E1717" s="8"/>
      <c r="F1717" s="1"/>
      <c r="H1717" s="13"/>
    </row>
    <row r="1718" spans="4:8" ht="12.75">
      <c r="D1718" s="3"/>
      <c r="E1718" s="8"/>
      <c r="F1718" s="1"/>
      <c r="H1718" s="13"/>
    </row>
    <row r="1719" spans="4:8" ht="12.75">
      <c r="D1719" s="3"/>
      <c r="E1719" s="8"/>
      <c r="F1719" s="1"/>
      <c r="H1719" s="13"/>
    </row>
    <row r="1720" spans="4:8" ht="12.75">
      <c r="D1720" s="3"/>
      <c r="E1720" s="8"/>
      <c r="F1720" s="1"/>
      <c r="H1720" s="13"/>
    </row>
    <row r="1721" spans="4:8" ht="12.75">
      <c r="D1721" s="3"/>
      <c r="E1721" s="8"/>
      <c r="F1721" s="1"/>
      <c r="H1721" s="13"/>
    </row>
    <row r="1722" spans="4:8" ht="12.75">
      <c r="D1722" s="3"/>
      <c r="E1722" s="8"/>
      <c r="F1722" s="1"/>
      <c r="H1722" s="13"/>
    </row>
    <row r="1723" spans="4:8" ht="12.75">
      <c r="D1723" s="3"/>
      <c r="E1723" s="8"/>
      <c r="F1723" s="1"/>
      <c r="H1723" s="13"/>
    </row>
    <row r="1724" spans="4:8" ht="12.75">
      <c r="D1724" s="3"/>
      <c r="E1724" s="8"/>
      <c r="F1724" s="1"/>
      <c r="H1724" s="13"/>
    </row>
    <row r="1725" spans="4:8" ht="12.75">
      <c r="D1725" s="3"/>
      <c r="E1725" s="8"/>
      <c r="F1725" s="1"/>
      <c r="H1725" s="13"/>
    </row>
    <row r="1726" spans="4:8" ht="12.75">
      <c r="D1726" s="3"/>
      <c r="E1726" s="8"/>
      <c r="F1726" s="1"/>
      <c r="H1726" s="13"/>
    </row>
    <row r="1727" spans="4:8" ht="12.75">
      <c r="D1727" s="3"/>
      <c r="E1727" s="8"/>
      <c r="F1727" s="1"/>
      <c r="H1727" s="13"/>
    </row>
    <row r="1728" spans="4:8" ht="12.75">
      <c r="D1728" s="3"/>
      <c r="E1728" s="8"/>
      <c r="F1728" s="1"/>
      <c r="H1728" s="13"/>
    </row>
    <row r="1729" spans="4:8" ht="12.75">
      <c r="D1729" s="3"/>
      <c r="E1729" s="8"/>
      <c r="F1729" s="1"/>
      <c r="H1729" s="13"/>
    </row>
    <row r="1730" spans="4:8" ht="12.75">
      <c r="D1730" s="3"/>
      <c r="E1730" s="8"/>
      <c r="F1730" s="1"/>
      <c r="H1730" s="13"/>
    </row>
    <row r="1731" spans="4:8" ht="12.75">
      <c r="D1731" s="3"/>
      <c r="E1731" s="8"/>
      <c r="F1731" s="1"/>
      <c r="H1731" s="13"/>
    </row>
    <row r="1732" spans="4:8" ht="12.75">
      <c r="D1732" s="3"/>
      <c r="E1732" s="8"/>
      <c r="F1732" s="1"/>
      <c r="H1732" s="13"/>
    </row>
    <row r="1733" spans="4:8" ht="12.75">
      <c r="D1733" s="3"/>
      <c r="E1733" s="8"/>
      <c r="F1733" s="1"/>
      <c r="H1733" s="13"/>
    </row>
    <row r="1734" spans="4:8" ht="12.75">
      <c r="D1734" s="3"/>
      <c r="E1734" s="8"/>
      <c r="F1734" s="1"/>
      <c r="H1734" s="13"/>
    </row>
    <row r="1735" spans="4:8" ht="12.75">
      <c r="D1735" s="3"/>
      <c r="E1735" s="8"/>
      <c r="F1735" s="1"/>
      <c r="H1735" s="13"/>
    </row>
    <row r="1736" spans="4:8" ht="12.75">
      <c r="D1736" s="3"/>
      <c r="E1736" s="8"/>
      <c r="F1736" s="1"/>
      <c r="H1736" s="13"/>
    </row>
    <row r="1737" spans="4:8" ht="12.75">
      <c r="D1737" s="3"/>
      <c r="E1737" s="8"/>
      <c r="F1737" s="1"/>
      <c r="H1737" s="13"/>
    </row>
    <row r="1738" spans="4:8" ht="12.75">
      <c r="D1738" s="3"/>
      <c r="E1738" s="8"/>
      <c r="F1738" s="1"/>
      <c r="H1738" s="13"/>
    </row>
    <row r="1739" spans="4:8" ht="12.75">
      <c r="D1739" s="3"/>
      <c r="E1739" s="8"/>
      <c r="F1739" s="1"/>
      <c r="H1739" s="13"/>
    </row>
    <row r="1740" spans="4:8" ht="12.75">
      <c r="D1740" s="3"/>
      <c r="E1740" s="8"/>
      <c r="F1740" s="1"/>
      <c r="H1740" s="13"/>
    </row>
    <row r="1741" spans="4:8" ht="12.75">
      <c r="D1741" s="3"/>
      <c r="E1741" s="8"/>
      <c r="F1741" s="1"/>
      <c r="H1741" s="13"/>
    </row>
    <row r="1742" spans="4:8" ht="12.75">
      <c r="D1742" s="3"/>
      <c r="E1742" s="8"/>
      <c r="F1742" s="1"/>
      <c r="H1742" s="13"/>
    </row>
    <row r="1743" spans="4:8" ht="12.75">
      <c r="D1743" s="3"/>
      <c r="E1743" s="8"/>
      <c r="F1743" s="1"/>
      <c r="H1743" s="13"/>
    </row>
    <row r="1744" spans="4:8" ht="12.75">
      <c r="D1744" s="3"/>
      <c r="E1744" s="8"/>
      <c r="F1744" s="1"/>
      <c r="H1744" s="13"/>
    </row>
    <row r="1745" spans="4:8" ht="12.75">
      <c r="D1745" s="3"/>
      <c r="E1745" s="8"/>
      <c r="F1745" s="1"/>
      <c r="H1745" s="13"/>
    </row>
    <row r="1746" spans="4:8" ht="12.75">
      <c r="D1746" s="3"/>
      <c r="E1746" s="8"/>
      <c r="F1746" s="1"/>
      <c r="H1746" s="13"/>
    </row>
    <row r="1747" spans="4:8" ht="12.75">
      <c r="D1747" s="3"/>
      <c r="E1747" s="8"/>
      <c r="F1747" s="1"/>
      <c r="H1747" s="13"/>
    </row>
    <row r="1748" spans="4:8" ht="12.75">
      <c r="D1748" s="3"/>
      <c r="E1748" s="8"/>
      <c r="F1748" s="1"/>
      <c r="H1748" s="13"/>
    </row>
    <row r="1749" spans="4:8" ht="12.75">
      <c r="D1749" s="3"/>
      <c r="E1749" s="8"/>
      <c r="F1749" s="1"/>
      <c r="H1749" s="13"/>
    </row>
    <row r="1750" spans="4:8" ht="12.75">
      <c r="D1750" s="3"/>
      <c r="E1750" s="8"/>
      <c r="F1750" s="1"/>
      <c r="H1750" s="13"/>
    </row>
    <row r="1751" spans="4:8" ht="12.75">
      <c r="D1751" s="3"/>
      <c r="E1751" s="8"/>
      <c r="F1751" s="1"/>
      <c r="H1751" s="13"/>
    </row>
    <row r="1752" spans="4:8" ht="12.75">
      <c r="D1752" s="3"/>
      <c r="E1752" s="8"/>
      <c r="F1752" s="1"/>
      <c r="H1752" s="13"/>
    </row>
    <row r="1753" spans="4:8" ht="12.75">
      <c r="D1753" s="3"/>
      <c r="E1753" s="8"/>
      <c r="F1753" s="1"/>
      <c r="H1753" s="13"/>
    </row>
    <row r="1754" spans="4:8" ht="12.75">
      <c r="D1754" s="3"/>
      <c r="E1754" s="8"/>
      <c r="F1754" s="1"/>
      <c r="H1754" s="13"/>
    </row>
    <row r="1755" spans="4:8" ht="12.75">
      <c r="D1755" s="3"/>
      <c r="E1755" s="8"/>
      <c r="F1755" s="1"/>
      <c r="H1755" s="13"/>
    </row>
    <row r="1756" spans="4:8" ht="12.75">
      <c r="D1756" s="3"/>
      <c r="E1756" s="8"/>
      <c r="F1756" s="1"/>
      <c r="H1756" s="13"/>
    </row>
    <row r="1757" spans="4:8" ht="12.75">
      <c r="D1757" s="3"/>
      <c r="E1757" s="8"/>
      <c r="F1757" s="1"/>
      <c r="H1757" s="13"/>
    </row>
    <row r="1758" spans="4:8" ht="12.75">
      <c r="D1758" s="3"/>
      <c r="E1758" s="8"/>
      <c r="F1758" s="1"/>
      <c r="H1758" s="13"/>
    </row>
    <row r="1759" spans="4:8" ht="12.75">
      <c r="D1759" s="3"/>
      <c r="E1759" s="8"/>
      <c r="F1759" s="1"/>
      <c r="H1759" s="13"/>
    </row>
    <row r="1760" spans="4:8" ht="12.75">
      <c r="D1760" s="3"/>
      <c r="E1760" s="8"/>
      <c r="F1760" s="1"/>
      <c r="H1760" s="13"/>
    </row>
    <row r="1761" spans="4:8" ht="12.75">
      <c r="D1761" s="3"/>
      <c r="E1761" s="8"/>
      <c r="F1761" s="1"/>
      <c r="H1761" s="13"/>
    </row>
    <row r="1762" spans="4:8" ht="12.75">
      <c r="D1762" s="3"/>
      <c r="E1762" s="8"/>
      <c r="F1762" s="1"/>
      <c r="H1762" s="13"/>
    </row>
    <row r="1763" spans="4:8" ht="12.75">
      <c r="D1763" s="3"/>
      <c r="E1763" s="8"/>
      <c r="F1763" s="1"/>
      <c r="H1763" s="13"/>
    </row>
    <row r="1764" spans="4:8" ht="12.75">
      <c r="D1764" s="3"/>
      <c r="E1764" s="8"/>
      <c r="F1764" s="1"/>
      <c r="H1764" s="13"/>
    </row>
    <row r="1765" spans="4:8" ht="12.75">
      <c r="D1765" s="3"/>
      <c r="E1765" s="8"/>
      <c r="F1765" s="1"/>
      <c r="H1765" s="13"/>
    </row>
    <row r="1766" spans="4:8" ht="12.75">
      <c r="D1766" s="3"/>
      <c r="E1766" s="8"/>
      <c r="F1766" s="1"/>
      <c r="H1766" s="13"/>
    </row>
    <row r="1767" spans="4:8" ht="12.75">
      <c r="D1767" s="3"/>
      <c r="E1767" s="8"/>
      <c r="F1767" s="1"/>
      <c r="H1767" s="13"/>
    </row>
    <row r="1768" spans="4:8" ht="12.75">
      <c r="D1768" s="3"/>
      <c r="E1768" s="8"/>
      <c r="F1768" s="1"/>
      <c r="H1768" s="13"/>
    </row>
    <row r="1769" spans="4:8" ht="12.75">
      <c r="D1769" s="3"/>
      <c r="E1769" s="8"/>
      <c r="F1769" s="1"/>
      <c r="H1769" s="13"/>
    </row>
    <row r="1770" spans="4:8" ht="12.75">
      <c r="D1770" s="3"/>
      <c r="E1770" s="8"/>
      <c r="F1770" s="1"/>
      <c r="H1770" s="13"/>
    </row>
    <row r="1771" spans="4:8" ht="12.75">
      <c r="D1771" s="3"/>
      <c r="E1771" s="8"/>
      <c r="F1771" s="1"/>
      <c r="H1771" s="13"/>
    </row>
    <row r="1772" spans="4:8" ht="12.75">
      <c r="D1772" s="3"/>
      <c r="E1772" s="8"/>
      <c r="F1772" s="1"/>
      <c r="H1772" s="13"/>
    </row>
    <row r="1773" spans="4:8" ht="12.75">
      <c r="D1773" s="3"/>
      <c r="E1773" s="8"/>
      <c r="F1773" s="1"/>
      <c r="H1773" s="13"/>
    </row>
    <row r="1774" spans="4:8" ht="12.75">
      <c r="D1774" s="3"/>
      <c r="E1774" s="8"/>
      <c r="F1774" s="1"/>
      <c r="H1774" s="13"/>
    </row>
    <row r="1775" spans="4:8" ht="12.75">
      <c r="D1775" s="3"/>
      <c r="E1775" s="8"/>
      <c r="F1775" s="1"/>
      <c r="H1775" s="13"/>
    </row>
    <row r="1776" spans="4:8" ht="12.75">
      <c r="D1776" s="3"/>
      <c r="E1776" s="8"/>
      <c r="F1776" s="1"/>
      <c r="H1776" s="13"/>
    </row>
    <row r="1777" spans="4:8" ht="12.75">
      <c r="D1777" s="3"/>
      <c r="E1777" s="8"/>
      <c r="F1777" s="1"/>
      <c r="H1777" s="13"/>
    </row>
    <row r="1778" spans="4:8" ht="12.75">
      <c r="D1778" s="3"/>
      <c r="E1778" s="8"/>
      <c r="F1778" s="1"/>
      <c r="H1778" s="13"/>
    </row>
    <row r="1779" spans="4:8" ht="12.75">
      <c r="D1779" s="3"/>
      <c r="E1779" s="8"/>
      <c r="F1779" s="1"/>
      <c r="H1779" s="13"/>
    </row>
    <row r="1780" spans="4:8" ht="12.75">
      <c r="D1780" s="3"/>
      <c r="E1780" s="8"/>
      <c r="F1780" s="1"/>
      <c r="H1780" s="13"/>
    </row>
    <row r="1781" spans="4:8" ht="12.75">
      <c r="D1781" s="3"/>
      <c r="E1781" s="8"/>
      <c r="F1781" s="1"/>
      <c r="H1781" s="13"/>
    </row>
    <row r="1782" spans="4:8" ht="12.75">
      <c r="D1782" s="3"/>
      <c r="E1782" s="8"/>
      <c r="F1782" s="1"/>
      <c r="H1782" s="13"/>
    </row>
    <row r="1783" spans="4:8" ht="12.75">
      <c r="D1783" s="3"/>
      <c r="E1783" s="8"/>
      <c r="F1783" s="1"/>
      <c r="H1783" s="13"/>
    </row>
    <row r="1784" spans="4:8" ht="12.75">
      <c r="D1784" s="3"/>
      <c r="E1784" s="8"/>
      <c r="F1784" s="1"/>
      <c r="H1784" s="13"/>
    </row>
    <row r="1785" spans="4:8" ht="12.75">
      <c r="D1785" s="3"/>
      <c r="E1785" s="8"/>
      <c r="F1785" s="1"/>
      <c r="H1785" s="13"/>
    </row>
    <row r="1786" spans="4:8" ht="12.75">
      <c r="D1786" s="3"/>
      <c r="E1786" s="8"/>
      <c r="F1786" s="1"/>
      <c r="H1786" s="13"/>
    </row>
    <row r="1787" spans="4:8" ht="12.75">
      <c r="D1787" s="3"/>
      <c r="E1787" s="8"/>
      <c r="F1787" s="1"/>
      <c r="H1787" s="13"/>
    </row>
    <row r="1788" spans="4:8" ht="12.75">
      <c r="D1788" s="3"/>
      <c r="E1788" s="8"/>
      <c r="F1788" s="1"/>
      <c r="H1788" s="13"/>
    </row>
    <row r="1789" spans="4:8" ht="12.75">
      <c r="D1789" s="3"/>
      <c r="E1789" s="8"/>
      <c r="F1789" s="1"/>
      <c r="H1789" s="13"/>
    </row>
    <row r="1790" spans="4:8" ht="12.75">
      <c r="D1790" s="3"/>
      <c r="E1790" s="8"/>
      <c r="F1790" s="1"/>
      <c r="H1790" s="13"/>
    </row>
    <row r="1791" spans="4:8" ht="12.75">
      <c r="D1791" s="3"/>
      <c r="E1791" s="8"/>
      <c r="F1791" s="1"/>
      <c r="H1791" s="13"/>
    </row>
    <row r="1792" spans="4:8" ht="12.75">
      <c r="D1792" s="3"/>
      <c r="E1792" s="8"/>
      <c r="F1792" s="1"/>
      <c r="H1792" s="13"/>
    </row>
    <row r="1793" spans="4:8" ht="12.75">
      <c r="D1793" s="3"/>
      <c r="E1793" s="8"/>
      <c r="F1793" s="1"/>
      <c r="H1793" s="13"/>
    </row>
    <row r="1794" spans="4:8" ht="12.75">
      <c r="D1794" s="3"/>
      <c r="E1794" s="8"/>
      <c r="F1794" s="1"/>
      <c r="H1794" s="13"/>
    </row>
    <row r="1795" spans="4:8" ht="12.75">
      <c r="D1795" s="3"/>
      <c r="E1795" s="8"/>
      <c r="F1795" s="1"/>
      <c r="H1795" s="13"/>
    </row>
    <row r="1796" spans="4:8" ht="12.75">
      <c r="D1796" s="3"/>
      <c r="E1796" s="8"/>
      <c r="F1796" s="1"/>
      <c r="H1796" s="13"/>
    </row>
    <row r="1797" spans="4:8" ht="12.75">
      <c r="D1797" s="3"/>
      <c r="E1797" s="8"/>
      <c r="F1797" s="1"/>
      <c r="H1797" s="13"/>
    </row>
    <row r="1798" spans="4:8" ht="12.75">
      <c r="D1798" s="3"/>
      <c r="E1798" s="8"/>
      <c r="F1798" s="1"/>
      <c r="H1798" s="13"/>
    </row>
    <row r="1799" spans="4:8" ht="12.75">
      <c r="D1799" s="3"/>
      <c r="E1799" s="8"/>
      <c r="F1799" s="1"/>
      <c r="H1799" s="13"/>
    </row>
    <row r="1800" spans="4:8" ht="12.75">
      <c r="D1800" s="3"/>
      <c r="E1800" s="8"/>
      <c r="F1800" s="1"/>
      <c r="H1800" s="13"/>
    </row>
    <row r="1801" spans="4:8" ht="12.75">
      <c r="D1801" s="3"/>
      <c r="E1801" s="8"/>
      <c r="F1801" s="1"/>
      <c r="H1801" s="13"/>
    </row>
    <row r="1802" spans="4:8" ht="12.75">
      <c r="D1802" s="3"/>
      <c r="E1802" s="8"/>
      <c r="F1802" s="1"/>
      <c r="H1802" s="13"/>
    </row>
    <row r="1803" spans="4:8" ht="12.75">
      <c r="D1803" s="3"/>
      <c r="E1803" s="8"/>
      <c r="F1803" s="1"/>
      <c r="H1803" s="13"/>
    </row>
    <row r="1804" spans="4:8" ht="12.75">
      <c r="D1804" s="3"/>
      <c r="E1804" s="8"/>
      <c r="F1804" s="1"/>
      <c r="H1804" s="13"/>
    </row>
    <row r="1805" spans="4:8" ht="12.75">
      <c r="D1805" s="3"/>
      <c r="E1805" s="8"/>
      <c r="H1805" s="13"/>
    </row>
    <row r="1806" spans="4:8" ht="12.75">
      <c r="D1806" s="3"/>
      <c r="E1806" s="8"/>
      <c r="H1806" s="13"/>
    </row>
    <row r="1807" spans="4:8" ht="12.75">
      <c r="D1807" s="3"/>
      <c r="E1807" s="8"/>
      <c r="H1807" s="13"/>
    </row>
    <row r="1808" spans="4:8" ht="12.75">
      <c r="D1808" s="3"/>
      <c r="E1808" s="8"/>
      <c r="H1808" s="13"/>
    </row>
    <row r="1809" spans="4:8" ht="12.75">
      <c r="D1809" s="3"/>
      <c r="E1809" s="8"/>
      <c r="H1809" s="13"/>
    </row>
    <row r="1810" spans="4:8" ht="12.75">
      <c r="D1810" s="3"/>
      <c r="E1810" s="8"/>
      <c r="H1810" s="13"/>
    </row>
    <row r="1811" spans="4:8" ht="12.75">
      <c r="D1811" s="3"/>
      <c r="E1811" s="8"/>
      <c r="H1811" s="13"/>
    </row>
    <row r="1812" spans="4:8" ht="12.75">
      <c r="D1812" s="3"/>
      <c r="E1812" s="8"/>
      <c r="H1812" s="13"/>
    </row>
    <row r="1813" spans="4:8" ht="12.75">
      <c r="D1813" s="3"/>
      <c r="E1813" s="8"/>
      <c r="H1813" s="13"/>
    </row>
    <row r="1814" spans="4:8" ht="12.75">
      <c r="D1814" s="3"/>
      <c r="E1814" s="8"/>
      <c r="H1814" s="13"/>
    </row>
    <row r="1815" spans="4:8" ht="12.75">
      <c r="D1815" s="3"/>
      <c r="E1815" s="8"/>
      <c r="H1815" s="13"/>
    </row>
    <row r="1816" spans="4:8" ht="12.75">
      <c r="D1816" s="3"/>
      <c r="E1816" s="8"/>
      <c r="H1816" s="13"/>
    </row>
    <row r="1817" spans="4:8" ht="12.75">
      <c r="D1817" s="3"/>
      <c r="E1817" s="8"/>
      <c r="H1817" s="13"/>
    </row>
    <row r="1818" spans="4:8" ht="12.75">
      <c r="D1818" s="3"/>
      <c r="E1818" s="8"/>
      <c r="H1818" s="13"/>
    </row>
    <row r="1819" spans="4:8" ht="12.75">
      <c r="D1819" s="3"/>
      <c r="E1819" s="8"/>
      <c r="H1819" s="13"/>
    </row>
    <row r="1820" spans="4:8" ht="12.75">
      <c r="D1820" s="3"/>
      <c r="E1820" s="8"/>
      <c r="H1820" s="13"/>
    </row>
    <row r="1821" spans="4:8" ht="12.75">
      <c r="D1821" s="3"/>
      <c r="E1821" s="8"/>
      <c r="H1821" s="13"/>
    </row>
    <row r="1822" spans="4:8" ht="12.75">
      <c r="D1822" s="3"/>
      <c r="E1822" s="8"/>
      <c r="H1822" s="13"/>
    </row>
    <row r="1823" spans="4:8" ht="12.75">
      <c r="D1823" s="3"/>
      <c r="E1823" s="8"/>
      <c r="H1823" s="13"/>
    </row>
    <row r="1824" spans="4:8" ht="12.75">
      <c r="D1824" s="3"/>
      <c r="E1824" s="8"/>
      <c r="H1824" s="13"/>
    </row>
    <row r="1825" spans="4:8" ht="12.75">
      <c r="D1825" s="3"/>
      <c r="E1825" s="8"/>
      <c r="H1825" s="13"/>
    </row>
    <row r="1826" spans="4:8" ht="12.75">
      <c r="D1826" s="3"/>
      <c r="E1826" s="8"/>
      <c r="H1826" s="13"/>
    </row>
    <row r="1827" spans="4:8" ht="12.75">
      <c r="D1827" s="3"/>
      <c r="E1827" s="8"/>
      <c r="H1827" s="13"/>
    </row>
    <row r="1828" spans="4:8" ht="12.75">
      <c r="D1828" s="3"/>
      <c r="E1828" s="8"/>
      <c r="H1828" s="13"/>
    </row>
    <row r="1829" spans="4:8" ht="12.75">
      <c r="D1829" s="3"/>
      <c r="E1829" s="8"/>
      <c r="H1829" s="13"/>
    </row>
    <row r="1830" spans="4:8" ht="12.75">
      <c r="D1830" s="3"/>
      <c r="E1830" s="8"/>
      <c r="H1830" s="13"/>
    </row>
    <row r="1831" spans="4:8" ht="12.75">
      <c r="D1831" s="3"/>
      <c r="E1831" s="8"/>
      <c r="H1831" s="13"/>
    </row>
    <row r="1832" spans="4:8" ht="12.75">
      <c r="D1832" s="3"/>
      <c r="E1832" s="8"/>
      <c r="H1832" s="13"/>
    </row>
    <row r="1833" spans="4:8" ht="12.75">
      <c r="D1833" s="3"/>
      <c r="E1833" s="8"/>
      <c r="H1833" s="13"/>
    </row>
    <row r="1834" spans="4:8" ht="12.75">
      <c r="D1834" s="3"/>
      <c r="E1834" s="8"/>
      <c r="H1834" s="13"/>
    </row>
    <row r="1835" spans="4:8" ht="12.75">
      <c r="D1835" s="3"/>
      <c r="E1835" s="8"/>
      <c r="H1835" s="13"/>
    </row>
    <row r="1836" spans="4:8" ht="12.75">
      <c r="D1836" s="3"/>
      <c r="E1836" s="8"/>
      <c r="H1836" s="13"/>
    </row>
    <row r="1837" spans="4:8" ht="12.75">
      <c r="D1837" s="3"/>
      <c r="E1837" s="8"/>
      <c r="H1837" s="13"/>
    </row>
    <row r="1838" spans="4:8" ht="12.75">
      <c r="D1838" s="3"/>
      <c r="E1838" s="8"/>
      <c r="H1838" s="13"/>
    </row>
    <row r="1839" spans="4:8" ht="12.75">
      <c r="D1839" s="3"/>
      <c r="E1839" s="8"/>
      <c r="H1839" s="13"/>
    </row>
    <row r="1840" spans="4:8" ht="12.75">
      <c r="D1840" s="3"/>
      <c r="E1840" s="8"/>
      <c r="H1840" s="13"/>
    </row>
    <row r="1841" spans="4:8" ht="12.75">
      <c r="D1841" s="3"/>
      <c r="E1841" s="8"/>
      <c r="H1841" s="13"/>
    </row>
    <row r="1842" spans="4:8" ht="12.75">
      <c r="D1842" s="3"/>
      <c r="E1842" s="8"/>
      <c r="H1842" s="13"/>
    </row>
    <row r="1843" spans="4:8" ht="12.75">
      <c r="D1843" s="3"/>
      <c r="E1843" s="8"/>
      <c r="H1843" s="13"/>
    </row>
    <row r="1844" spans="4:8" ht="12.75">
      <c r="D1844" s="3"/>
      <c r="E1844" s="8"/>
      <c r="H1844" s="13"/>
    </row>
    <row r="1845" spans="4:8" ht="12.75">
      <c r="D1845" s="3"/>
      <c r="E1845" s="8"/>
      <c r="H1845" s="13"/>
    </row>
    <row r="1846" spans="4:8" ht="12.75">
      <c r="D1846" s="3"/>
      <c r="E1846" s="8"/>
      <c r="H1846" s="13"/>
    </row>
    <row r="1847" spans="4:8" ht="12.75">
      <c r="D1847" s="3"/>
      <c r="E1847" s="8"/>
      <c r="H1847" s="13"/>
    </row>
    <row r="1848" spans="4:8" ht="12.75">
      <c r="D1848" s="3"/>
      <c r="E1848" s="8"/>
      <c r="H1848" s="13"/>
    </row>
    <row r="1849" spans="4:8" ht="12.75">
      <c r="D1849" s="3"/>
      <c r="E1849" s="8"/>
      <c r="H1849" s="13"/>
    </row>
    <row r="1850" spans="4:8" ht="12.75">
      <c r="D1850" s="3"/>
      <c r="E1850" s="8"/>
      <c r="H1850" s="13"/>
    </row>
    <row r="1851" spans="4:8" ht="12.75">
      <c r="D1851" s="3"/>
      <c r="E1851" s="8"/>
      <c r="H1851" s="13"/>
    </row>
    <row r="1852" spans="4:8" ht="12.75">
      <c r="D1852" s="3"/>
      <c r="E1852" s="8"/>
      <c r="H1852" s="13"/>
    </row>
    <row r="1853" spans="4:8" ht="12.75">
      <c r="D1853" s="3"/>
      <c r="E1853" s="8"/>
      <c r="H1853" s="13"/>
    </row>
    <row r="1854" spans="4:8" ht="12.75">
      <c r="D1854" s="3"/>
      <c r="E1854" s="8"/>
      <c r="H1854" s="13"/>
    </row>
    <row r="1855" spans="4:8" ht="12.75">
      <c r="D1855" s="3"/>
      <c r="E1855" s="8"/>
      <c r="H1855" s="13"/>
    </row>
    <row r="1856" spans="4:8" ht="12.75">
      <c r="D1856" s="3"/>
      <c r="E1856" s="8"/>
      <c r="H1856" s="13"/>
    </row>
    <row r="1857" spans="4:8" ht="12.75">
      <c r="D1857" s="3"/>
      <c r="E1857" s="8"/>
      <c r="H1857" s="13"/>
    </row>
    <row r="1858" spans="4:8" ht="12.75">
      <c r="D1858" s="3"/>
      <c r="E1858" s="8"/>
      <c r="H1858" s="13"/>
    </row>
    <row r="1859" spans="4:8" ht="12.75">
      <c r="D1859" s="3"/>
      <c r="E1859" s="8"/>
      <c r="H1859" s="13"/>
    </row>
    <row r="1860" spans="4:8" ht="12.75">
      <c r="D1860" s="3"/>
      <c r="E1860" s="8"/>
      <c r="H1860" s="13"/>
    </row>
    <row r="1861" spans="4:8" ht="12.75">
      <c r="D1861" s="3"/>
      <c r="E1861" s="8"/>
      <c r="H1861" s="13"/>
    </row>
    <row r="1862" spans="4:8" ht="12.75">
      <c r="D1862" s="3"/>
      <c r="E1862" s="8"/>
      <c r="H1862" s="13"/>
    </row>
    <row r="1863" spans="4:8" ht="12.75">
      <c r="D1863" s="3"/>
      <c r="E1863" s="8"/>
      <c r="H1863" s="13"/>
    </row>
    <row r="1864" spans="4:8" ht="12.75">
      <c r="D1864" s="3"/>
      <c r="E1864" s="8"/>
      <c r="H1864" s="13"/>
    </row>
    <row r="1865" spans="4:8" ht="12.75">
      <c r="D1865" s="3"/>
      <c r="E1865" s="8"/>
      <c r="H1865" s="13"/>
    </row>
    <row r="1866" spans="4:8" ht="12.75">
      <c r="D1866" s="3"/>
      <c r="E1866" s="8"/>
      <c r="H1866" s="13"/>
    </row>
    <row r="1867" spans="4:8" ht="12.75">
      <c r="D1867" s="3"/>
      <c r="E1867" s="8"/>
      <c r="H1867" s="13"/>
    </row>
    <row r="1868" spans="4:8" ht="12.75">
      <c r="D1868" s="3"/>
      <c r="E1868" s="8"/>
      <c r="H1868" s="13"/>
    </row>
    <row r="1869" spans="4:8" ht="12.75">
      <c r="D1869" s="3"/>
      <c r="E1869" s="8"/>
      <c r="H1869" s="13"/>
    </row>
    <row r="1870" spans="4:8" ht="12.75">
      <c r="D1870" s="3"/>
      <c r="E1870" s="8"/>
      <c r="H1870" s="13"/>
    </row>
    <row r="1871" spans="4:8" ht="12.75">
      <c r="D1871" s="3"/>
      <c r="E1871" s="8"/>
      <c r="H1871" s="13"/>
    </row>
    <row r="1872" spans="4:8" ht="12.75">
      <c r="D1872" s="3"/>
      <c r="E1872" s="8"/>
      <c r="H1872" s="13"/>
    </row>
    <row r="1873" spans="4:8" ht="12.75">
      <c r="D1873" s="3"/>
      <c r="E1873" s="8"/>
      <c r="H1873" s="13"/>
    </row>
    <row r="1874" spans="4:8" ht="12.75">
      <c r="D1874" s="3"/>
      <c r="E1874" s="8"/>
      <c r="H1874" s="13"/>
    </row>
    <row r="1875" spans="4:8" ht="12.75">
      <c r="D1875" s="3"/>
      <c r="E1875" s="8"/>
      <c r="H1875" s="13"/>
    </row>
    <row r="1876" spans="4:8" ht="12.75">
      <c r="D1876" s="3"/>
      <c r="E1876" s="8"/>
      <c r="H1876" s="13"/>
    </row>
    <row r="1877" spans="4:8" ht="12.75">
      <c r="D1877" s="3"/>
      <c r="E1877" s="8"/>
      <c r="H1877" s="13"/>
    </row>
    <row r="1878" spans="4:8" ht="12.75">
      <c r="D1878" s="3"/>
      <c r="E1878" s="8"/>
      <c r="H1878" s="13"/>
    </row>
    <row r="1879" spans="4:8" ht="12.75">
      <c r="D1879" s="3"/>
      <c r="E1879" s="8"/>
      <c r="H1879" s="13"/>
    </row>
    <row r="1880" spans="4:8" ht="12.75">
      <c r="D1880" s="3"/>
      <c r="E1880" s="8"/>
      <c r="H1880" s="13"/>
    </row>
    <row r="1881" spans="4:8" ht="12.75">
      <c r="D1881" s="3"/>
      <c r="E1881" s="8"/>
      <c r="H1881" s="13"/>
    </row>
    <row r="1882" spans="4:8" ht="12.75">
      <c r="D1882" s="3"/>
      <c r="E1882" s="8"/>
      <c r="H1882" s="13"/>
    </row>
    <row r="1883" spans="4:8" ht="12.75">
      <c r="D1883" s="3"/>
      <c r="E1883" s="8"/>
      <c r="H1883" s="13"/>
    </row>
    <row r="1884" spans="4:8" ht="12.75">
      <c r="D1884" s="3"/>
      <c r="E1884" s="8"/>
      <c r="H1884" s="13"/>
    </row>
    <row r="1885" spans="4:8" ht="12.75">
      <c r="D1885" s="3"/>
      <c r="E1885" s="8"/>
      <c r="H1885" s="13"/>
    </row>
    <row r="1886" spans="4:8" ht="12.75">
      <c r="D1886" s="3"/>
      <c r="E1886" s="8"/>
      <c r="H1886" s="13"/>
    </row>
    <row r="1887" spans="4:8" ht="12.75">
      <c r="D1887" s="3"/>
      <c r="E1887" s="8"/>
      <c r="H1887" s="13"/>
    </row>
    <row r="1888" spans="4:8" ht="12.75">
      <c r="D1888" s="3"/>
      <c r="E1888" s="8"/>
      <c r="H1888" s="13"/>
    </row>
    <row r="1889" spans="4:8" ht="12.75">
      <c r="D1889" s="3"/>
      <c r="E1889" s="8"/>
      <c r="H1889" s="13"/>
    </row>
    <row r="1890" spans="4:8" ht="12.75">
      <c r="D1890" s="3"/>
      <c r="E1890" s="8"/>
      <c r="H1890" s="13"/>
    </row>
    <row r="1891" spans="4:8" ht="12.75">
      <c r="D1891" s="3"/>
      <c r="E1891" s="8"/>
      <c r="H1891" s="13"/>
    </row>
    <row r="1892" spans="4:8" ht="12.75">
      <c r="D1892" s="3"/>
      <c r="E1892" s="8"/>
      <c r="H1892" s="13"/>
    </row>
    <row r="1893" spans="4:8" ht="12.75">
      <c r="D1893" s="3"/>
      <c r="E1893" s="8"/>
      <c r="H1893" s="13"/>
    </row>
    <row r="1894" spans="4:8" ht="12.75">
      <c r="D1894" s="3"/>
      <c r="E1894" s="8"/>
      <c r="H1894" s="13"/>
    </row>
    <row r="1895" spans="4:8" ht="12.75">
      <c r="D1895" s="3"/>
      <c r="E1895" s="8"/>
      <c r="H1895" s="13"/>
    </row>
    <row r="1896" spans="4:8" ht="12.75">
      <c r="D1896" s="3"/>
      <c r="E1896" s="8"/>
      <c r="H1896" s="13"/>
    </row>
    <row r="1897" spans="4:8" ht="12.75">
      <c r="D1897" s="3"/>
      <c r="E1897" s="8"/>
      <c r="H1897" s="13"/>
    </row>
    <row r="1898" spans="4:8" ht="12.75">
      <c r="D1898" s="3"/>
      <c r="E1898" s="8"/>
      <c r="H1898" s="13"/>
    </row>
    <row r="1899" spans="4:8" ht="12.75">
      <c r="D1899" s="3"/>
      <c r="E1899" s="8"/>
      <c r="H1899" s="13"/>
    </row>
    <row r="1900" spans="4:8" ht="12.75">
      <c r="D1900" s="3"/>
      <c r="E1900" s="8"/>
      <c r="H1900" s="13"/>
    </row>
    <row r="1901" spans="4:8" ht="12.75">
      <c r="D1901" s="3"/>
      <c r="E1901" s="8"/>
      <c r="H1901" s="13"/>
    </row>
    <row r="1902" spans="4:8" ht="12.75">
      <c r="D1902" s="3"/>
      <c r="E1902" s="8"/>
      <c r="H1902" s="13"/>
    </row>
    <row r="1903" spans="4:8" ht="12.75">
      <c r="D1903" s="3"/>
      <c r="E1903" s="8"/>
      <c r="H1903" s="13"/>
    </row>
    <row r="1904" spans="4:8" ht="12.75">
      <c r="D1904" s="3"/>
      <c r="E1904" s="8"/>
      <c r="H1904" s="13"/>
    </row>
    <row r="1905" spans="4:8" ht="12.75">
      <c r="D1905" s="3"/>
      <c r="E1905" s="8"/>
      <c r="H1905" s="13"/>
    </row>
    <row r="1906" spans="4:8" ht="12.75">
      <c r="D1906" s="3"/>
      <c r="E1906" s="8"/>
      <c r="H1906" s="13"/>
    </row>
    <row r="1907" spans="4:8" ht="12.75">
      <c r="D1907" s="3"/>
      <c r="E1907" s="8"/>
      <c r="H1907" s="13"/>
    </row>
    <row r="1908" spans="4:8" ht="12.75">
      <c r="D1908" s="3"/>
      <c r="E1908" s="8"/>
      <c r="H1908" s="13"/>
    </row>
    <row r="1909" spans="4:8" ht="12.75">
      <c r="D1909" s="3"/>
      <c r="E1909" s="8"/>
      <c r="H1909" s="13"/>
    </row>
    <row r="1910" spans="4:8" ht="12.75">
      <c r="D1910" s="3"/>
      <c r="E1910" s="8"/>
      <c r="H1910" s="13"/>
    </row>
    <row r="1911" spans="4:8" ht="12.75">
      <c r="D1911" s="3"/>
      <c r="E1911" s="8"/>
      <c r="H1911" s="13"/>
    </row>
    <row r="1912" spans="4:8" ht="12.75">
      <c r="D1912" s="3"/>
      <c r="E1912" s="8"/>
      <c r="H1912" s="13"/>
    </row>
    <row r="1913" spans="4:8" ht="12.75">
      <c r="D1913" s="3"/>
      <c r="E1913" s="8"/>
      <c r="H1913" s="13"/>
    </row>
    <row r="1914" spans="4:8" ht="12.75">
      <c r="D1914" s="3"/>
      <c r="E1914" s="8"/>
      <c r="H1914" s="13"/>
    </row>
    <row r="1915" spans="4:8" ht="12.75">
      <c r="D1915" s="3"/>
      <c r="E1915" s="8"/>
      <c r="H1915" s="13"/>
    </row>
    <row r="1916" spans="4:8" ht="12.75">
      <c r="D1916" s="3"/>
      <c r="E1916" s="8"/>
      <c r="H1916" s="13"/>
    </row>
    <row r="1917" spans="4:8" ht="12.75">
      <c r="D1917" s="3"/>
      <c r="E1917" s="8"/>
      <c r="H1917" s="13"/>
    </row>
    <row r="1918" spans="4:8" ht="12.75">
      <c r="D1918" s="3"/>
      <c r="E1918" s="8"/>
      <c r="H1918" s="13"/>
    </row>
    <row r="1919" spans="4:8" ht="12.75">
      <c r="D1919" s="3"/>
      <c r="E1919" s="8"/>
      <c r="H1919" s="13"/>
    </row>
    <row r="1920" spans="4:8" ht="12.75">
      <c r="D1920" s="3"/>
      <c r="E1920" s="8"/>
      <c r="H1920" s="13"/>
    </row>
    <row r="1921" spans="4:8" ht="12.75">
      <c r="D1921" s="3"/>
      <c r="E1921" s="8"/>
      <c r="H1921" s="13"/>
    </row>
    <row r="1922" spans="4:8" ht="12.75">
      <c r="D1922" s="3"/>
      <c r="E1922" s="8"/>
      <c r="H1922" s="13"/>
    </row>
    <row r="1923" spans="4:8" ht="12.75">
      <c r="D1923" s="3"/>
      <c r="E1923" s="8"/>
      <c r="H1923" s="13"/>
    </row>
    <row r="1924" spans="4:8" ht="12.75">
      <c r="D1924" s="3"/>
      <c r="E1924" s="8"/>
      <c r="H1924" s="13"/>
    </row>
    <row r="1925" spans="4:8" ht="12.75">
      <c r="D1925" s="3"/>
      <c r="E1925" s="8"/>
      <c r="H1925" s="13"/>
    </row>
    <row r="1926" spans="4:8" ht="12.75">
      <c r="D1926" s="3"/>
      <c r="E1926" s="8"/>
      <c r="H1926" s="13"/>
    </row>
    <row r="1927" spans="4:8" ht="12.75">
      <c r="D1927" s="3"/>
      <c r="E1927" s="8"/>
      <c r="H1927" s="13"/>
    </row>
    <row r="1928" spans="4:8" ht="12.75">
      <c r="D1928" s="3"/>
      <c r="E1928" s="8"/>
      <c r="H1928" s="13"/>
    </row>
    <row r="1929" spans="4:8" ht="12.75">
      <c r="D1929" s="3"/>
      <c r="E1929" s="8"/>
      <c r="H1929" s="13"/>
    </row>
    <row r="1930" spans="4:8" ht="12.75">
      <c r="D1930" s="3"/>
      <c r="E1930" s="8"/>
      <c r="H1930" s="13"/>
    </row>
    <row r="1931" spans="4:8" ht="12.75">
      <c r="D1931" s="3"/>
      <c r="E1931" s="8"/>
      <c r="H1931" s="13"/>
    </row>
    <row r="1932" spans="4:8" ht="12.75">
      <c r="D1932" s="3"/>
      <c r="E1932" s="8"/>
      <c r="H1932" s="13"/>
    </row>
    <row r="1933" spans="4:8" ht="12.75">
      <c r="D1933" s="3"/>
      <c r="E1933" s="8"/>
      <c r="H1933" s="13"/>
    </row>
    <row r="1934" spans="4:8" ht="12.75">
      <c r="D1934" s="3"/>
      <c r="E1934" s="8"/>
      <c r="H1934" s="13"/>
    </row>
    <row r="1935" spans="4:8" ht="12.75">
      <c r="D1935" s="3"/>
      <c r="E1935" s="8"/>
      <c r="H1935" s="13"/>
    </row>
    <row r="1936" spans="4:8" ht="12.75">
      <c r="D1936" s="3"/>
      <c r="E1936" s="8"/>
      <c r="H1936" s="13"/>
    </row>
    <row r="1937" spans="4:8" ht="12.75">
      <c r="D1937" s="3"/>
      <c r="E1937" s="8"/>
      <c r="H1937" s="13"/>
    </row>
    <row r="1938" spans="4:8" ht="12.75">
      <c r="D1938" s="3"/>
      <c r="E1938" s="8"/>
      <c r="H1938" s="13"/>
    </row>
    <row r="1939" spans="4:8" ht="12.75">
      <c r="D1939" s="3"/>
      <c r="E1939" s="8"/>
      <c r="H1939" s="13"/>
    </row>
    <row r="1940" spans="4:8" ht="12.75">
      <c r="D1940" s="3"/>
      <c r="E1940" s="8"/>
      <c r="H1940" s="13"/>
    </row>
    <row r="1941" spans="4:8" ht="12.75">
      <c r="D1941" s="3"/>
      <c r="E1941" s="8"/>
      <c r="H1941" s="13"/>
    </row>
    <row r="1942" spans="4:8" ht="12.75">
      <c r="D1942" s="3"/>
      <c r="E1942" s="8"/>
      <c r="H1942" s="13"/>
    </row>
    <row r="1943" spans="4:8" ht="12.75">
      <c r="D1943" s="3"/>
      <c r="E1943" s="8"/>
      <c r="H1943" s="13"/>
    </row>
    <row r="1944" spans="4:8" ht="12.75">
      <c r="D1944" s="3"/>
      <c r="E1944" s="8"/>
      <c r="H1944" s="13"/>
    </row>
    <row r="1945" spans="4:8" ht="12.75">
      <c r="D1945" s="3"/>
      <c r="E1945" s="8"/>
      <c r="H1945" s="13"/>
    </row>
    <row r="1946" spans="4:8" ht="12.75">
      <c r="D1946" s="3"/>
      <c r="E1946" s="8"/>
      <c r="H1946" s="13"/>
    </row>
    <row r="1947" spans="4:8" ht="12.75">
      <c r="D1947" s="3"/>
      <c r="E1947" s="8"/>
      <c r="H1947" s="13"/>
    </row>
    <row r="1948" spans="4:8" ht="12.75">
      <c r="D1948" s="3"/>
      <c r="E1948" s="8"/>
      <c r="H1948" s="13"/>
    </row>
    <row r="1949" spans="4:8" ht="12.75">
      <c r="D1949" s="3"/>
      <c r="E1949" s="8"/>
      <c r="H1949" s="13"/>
    </row>
    <row r="1950" spans="4:8" ht="12.75">
      <c r="D1950" s="3"/>
      <c r="E1950" s="8"/>
      <c r="H1950" s="13"/>
    </row>
    <row r="1951" spans="4:8" ht="12.75">
      <c r="D1951" s="3"/>
      <c r="E1951" s="8"/>
      <c r="H1951" s="13"/>
    </row>
    <row r="1952" spans="4:8" ht="12.75">
      <c r="D1952" s="3"/>
      <c r="E1952" s="8"/>
      <c r="H1952" s="13"/>
    </row>
    <row r="1953" spans="4:8" ht="12.75">
      <c r="D1953" s="3"/>
      <c r="E1953" s="8"/>
      <c r="H1953" s="13"/>
    </row>
    <row r="1954" spans="4:8" ht="12.75">
      <c r="D1954" s="3"/>
      <c r="E1954" s="8"/>
      <c r="H1954" s="13"/>
    </row>
    <row r="1955" spans="4:8" ht="12.75">
      <c r="D1955" s="3"/>
      <c r="E1955" s="8"/>
      <c r="H1955" s="13"/>
    </row>
    <row r="1956" spans="4:8" ht="12.75">
      <c r="D1956" s="3"/>
      <c r="E1956" s="8"/>
      <c r="H1956" s="13"/>
    </row>
    <row r="1957" spans="4:8" ht="12.75">
      <c r="D1957" s="3"/>
      <c r="E1957" s="8"/>
      <c r="H1957" s="13"/>
    </row>
    <row r="1958" spans="4:8" ht="12.75">
      <c r="D1958" s="3"/>
      <c r="E1958" s="8"/>
      <c r="H1958" s="13"/>
    </row>
    <row r="1959" spans="4:8" ht="12.75">
      <c r="D1959" s="3"/>
      <c r="E1959" s="8"/>
      <c r="H1959" s="13"/>
    </row>
    <row r="1960" spans="4:8" ht="12.75">
      <c r="D1960" s="3"/>
      <c r="E1960" s="8"/>
      <c r="H1960" s="13"/>
    </row>
    <row r="1961" spans="4:8" ht="12.75">
      <c r="D1961" s="3"/>
      <c r="E1961" s="8"/>
      <c r="H1961" s="13"/>
    </row>
    <row r="1962" spans="4:8" ht="12.75">
      <c r="D1962" s="3"/>
      <c r="E1962" s="8"/>
      <c r="H1962" s="13"/>
    </row>
    <row r="1963" spans="4:8" ht="12.75">
      <c r="D1963" s="3"/>
      <c r="E1963" s="8"/>
      <c r="H1963" s="13"/>
    </row>
    <row r="1964" spans="4:8" ht="12.75">
      <c r="D1964" s="3"/>
      <c r="E1964" s="8"/>
      <c r="H1964" s="13"/>
    </row>
    <row r="1965" spans="4:8" ht="12.75">
      <c r="D1965" s="3"/>
      <c r="E1965" s="8"/>
      <c r="H1965" s="13"/>
    </row>
    <row r="1966" spans="4:8" ht="12.75">
      <c r="D1966" s="3"/>
      <c r="E1966" s="8"/>
      <c r="H1966" s="13"/>
    </row>
    <row r="1967" spans="4:8" ht="12.75">
      <c r="D1967" s="3"/>
      <c r="E1967" s="8"/>
      <c r="H1967" s="13"/>
    </row>
    <row r="1968" spans="4:8" ht="12.75">
      <c r="D1968" s="3"/>
      <c r="E1968" s="8"/>
      <c r="H1968" s="13"/>
    </row>
    <row r="1969" spans="4:8" ht="12.75">
      <c r="D1969" s="3"/>
      <c r="E1969" s="8"/>
      <c r="H1969" s="13"/>
    </row>
    <row r="1970" spans="4:8" ht="12.75">
      <c r="D1970" s="3"/>
      <c r="E1970" s="8"/>
      <c r="H1970" s="13"/>
    </row>
    <row r="1971" spans="4:8" ht="12.75">
      <c r="D1971" s="3"/>
      <c r="E1971" s="8"/>
      <c r="H1971" s="13"/>
    </row>
    <row r="1972" spans="4:8" ht="12.75">
      <c r="D1972" s="3"/>
      <c r="E1972" s="8"/>
      <c r="H1972" s="13"/>
    </row>
    <row r="1973" spans="4:8" ht="12.75">
      <c r="D1973" s="3"/>
      <c r="E1973" s="8"/>
      <c r="H1973" s="13"/>
    </row>
    <row r="1974" spans="4:8" ht="12.75">
      <c r="D1974" s="3"/>
      <c r="E1974" s="8"/>
      <c r="H1974" s="13"/>
    </row>
    <row r="1975" spans="4:8" ht="12.75">
      <c r="D1975" s="3"/>
      <c r="E1975" s="8"/>
      <c r="H1975" s="13"/>
    </row>
    <row r="1976" spans="4:8" ht="12.75">
      <c r="D1976" s="3"/>
      <c r="E1976" s="8"/>
      <c r="H1976" s="13"/>
    </row>
    <row r="1977" spans="4:8" ht="12.75">
      <c r="D1977" s="3"/>
      <c r="E1977" s="8"/>
      <c r="H1977" s="13"/>
    </row>
    <row r="1978" spans="4:8" ht="12.75">
      <c r="D1978" s="3"/>
      <c r="E1978" s="8"/>
      <c r="H1978" s="13"/>
    </row>
    <row r="1979" spans="4:8" ht="12.75">
      <c r="D1979" s="3"/>
      <c r="E1979" s="8"/>
      <c r="H1979" s="13"/>
    </row>
    <row r="1980" spans="4:8" ht="12.75">
      <c r="D1980" s="3"/>
      <c r="E1980" s="8"/>
      <c r="H1980" s="13"/>
    </row>
    <row r="1981" spans="4:8" ht="12.75">
      <c r="D1981" s="3"/>
      <c r="E1981" s="8"/>
      <c r="H1981" s="13"/>
    </row>
    <row r="1982" spans="4:8" ht="12.75">
      <c r="D1982" s="3"/>
      <c r="E1982" s="8"/>
      <c r="H1982" s="13"/>
    </row>
    <row r="1983" spans="4:8" ht="12.75">
      <c r="D1983" s="3"/>
      <c r="E1983" s="8"/>
      <c r="H1983" s="13"/>
    </row>
    <row r="1984" spans="4:8" ht="12.75">
      <c r="D1984" s="3"/>
      <c r="E1984" s="8"/>
      <c r="H1984" s="13"/>
    </row>
    <row r="1985" spans="4:8" ht="12.75">
      <c r="D1985" s="3"/>
      <c r="E1985" s="8"/>
      <c r="H1985" s="13"/>
    </row>
    <row r="1986" spans="4:8" ht="12.75">
      <c r="D1986" s="3"/>
      <c r="E1986" s="8"/>
      <c r="H1986" s="13"/>
    </row>
    <row r="1987" spans="4:8" ht="12.75">
      <c r="D1987" s="3"/>
      <c r="E1987" s="8"/>
      <c r="H1987" s="13"/>
    </row>
    <row r="1988" spans="4:8" ht="12.75">
      <c r="D1988" s="3"/>
      <c r="E1988" s="8"/>
      <c r="H1988" s="13"/>
    </row>
    <row r="1989" spans="4:8" ht="12.75">
      <c r="D1989" s="3"/>
      <c r="E1989" s="8"/>
      <c r="H1989" s="13"/>
    </row>
    <row r="1990" spans="4:8" ht="12.75">
      <c r="D1990" s="3"/>
      <c r="E1990" s="8"/>
      <c r="H1990" s="13"/>
    </row>
    <row r="1991" spans="4:8" ht="12.75">
      <c r="D1991" s="3"/>
      <c r="E1991" s="8"/>
      <c r="H1991" s="13"/>
    </row>
    <row r="1992" spans="4:8" ht="12.75">
      <c r="D1992" s="3"/>
      <c r="E1992" s="8"/>
      <c r="H1992" s="13"/>
    </row>
    <row r="1993" spans="4:8" ht="12.75">
      <c r="D1993" s="3"/>
      <c r="E1993" s="8"/>
      <c r="H1993" s="13"/>
    </row>
    <row r="1994" spans="4:8" ht="12.75">
      <c r="D1994" s="3"/>
      <c r="E1994" s="8"/>
      <c r="H1994" s="13"/>
    </row>
    <row r="1995" spans="4:8" ht="12.75">
      <c r="D1995" s="3"/>
      <c r="E1995" s="8"/>
      <c r="H1995" s="13"/>
    </row>
    <row r="1996" spans="4:8" ht="12.75">
      <c r="D1996" s="3"/>
      <c r="E1996" s="8"/>
      <c r="H1996" s="13"/>
    </row>
    <row r="1997" spans="4:8" ht="12.75">
      <c r="D1997" s="3"/>
      <c r="E1997" s="8"/>
      <c r="H1997" s="13"/>
    </row>
    <row r="1998" spans="4:8" ht="12.75">
      <c r="D1998" s="3"/>
      <c r="E1998" s="8"/>
      <c r="H1998" s="13"/>
    </row>
    <row r="1999" spans="4:8" ht="12.75">
      <c r="D1999" s="3"/>
      <c r="E1999" s="8"/>
      <c r="H1999" s="13"/>
    </row>
    <row r="2000" spans="4:8" ht="12.75">
      <c r="D2000" s="3"/>
      <c r="E2000" s="8"/>
      <c r="H2000" s="13"/>
    </row>
    <row r="2001" spans="4:8" ht="12.75">
      <c r="D2001" s="3"/>
      <c r="E2001" s="8"/>
      <c r="H2001" s="13"/>
    </row>
    <row r="2002" spans="4:8" ht="12.75">
      <c r="D2002" s="3"/>
      <c r="E2002" s="8"/>
      <c r="H2002" s="13"/>
    </row>
    <row r="2003" spans="4:8" ht="12.75">
      <c r="D2003" s="3"/>
      <c r="E2003" s="8"/>
      <c r="H2003" s="13"/>
    </row>
    <row r="2004" spans="4:8" ht="12.75">
      <c r="D2004" s="3"/>
      <c r="E2004" s="8"/>
      <c r="H2004" s="13"/>
    </row>
    <row r="2005" spans="4:8" ht="12.75">
      <c r="D2005" s="3"/>
      <c r="E2005" s="8"/>
      <c r="H2005" s="13"/>
    </row>
    <row r="2006" spans="4:8" ht="12.75">
      <c r="D2006" s="3"/>
      <c r="E2006" s="8"/>
      <c r="H2006" s="13"/>
    </row>
    <row r="2007" spans="4:8" ht="12.75">
      <c r="D2007" s="3"/>
      <c r="E2007" s="8"/>
      <c r="H2007" s="13"/>
    </row>
    <row r="2008" spans="4:8" ht="12.75">
      <c r="D2008" s="3"/>
      <c r="E2008" s="8"/>
      <c r="H2008" s="13"/>
    </row>
    <row r="2009" spans="4:8" ht="12.75">
      <c r="D2009" s="3"/>
      <c r="E2009" s="8"/>
      <c r="H2009" s="13"/>
    </row>
    <row r="2010" spans="4:8" ht="12.75">
      <c r="D2010" s="3"/>
      <c r="E2010" s="8"/>
      <c r="H2010" s="13"/>
    </row>
    <row r="2011" spans="4:8" ht="12.75">
      <c r="D2011" s="3"/>
      <c r="E2011" s="8"/>
      <c r="H2011" s="13"/>
    </row>
    <row r="2012" spans="4:8" ht="12.75">
      <c r="D2012" s="3"/>
      <c r="E2012" s="8"/>
      <c r="H2012" s="13"/>
    </row>
    <row r="2013" spans="4:8" ht="12.75">
      <c r="D2013" s="3"/>
      <c r="E2013" s="8"/>
      <c r="H2013" s="13"/>
    </row>
    <row r="2014" spans="4:8" ht="12.75">
      <c r="D2014" s="3"/>
      <c r="E2014" s="8"/>
      <c r="H2014" s="13"/>
    </row>
    <row r="2015" spans="4:8" ht="12.75">
      <c r="D2015" s="3"/>
      <c r="E2015" s="8"/>
      <c r="H2015" s="13"/>
    </row>
    <row r="2016" spans="4:8" ht="12.75">
      <c r="D2016" s="3"/>
      <c r="E2016" s="8"/>
      <c r="H2016" s="13"/>
    </row>
    <row r="2017" spans="4:8" ht="12.75">
      <c r="D2017" s="3"/>
      <c r="E2017" s="8"/>
      <c r="H2017" s="13"/>
    </row>
    <row r="2018" spans="4:8" ht="12.75">
      <c r="D2018" s="3"/>
      <c r="E2018" s="8"/>
      <c r="H2018" s="13"/>
    </row>
    <row r="2019" spans="4:8" ht="12.75">
      <c r="D2019" s="3"/>
      <c r="E2019" s="8"/>
      <c r="H2019" s="13"/>
    </row>
    <row r="2020" spans="4:8" ht="12.75">
      <c r="D2020" s="3"/>
      <c r="E2020" s="8"/>
      <c r="H2020" s="13"/>
    </row>
    <row r="2021" spans="4:8" ht="12.75">
      <c r="D2021" s="3"/>
      <c r="E2021" s="8"/>
      <c r="H2021" s="13"/>
    </row>
    <row r="2022" spans="4:8" ht="12.75">
      <c r="D2022" s="3"/>
      <c r="E2022" s="8"/>
      <c r="H2022" s="13"/>
    </row>
    <row r="2023" spans="4:8" ht="12.75">
      <c r="D2023" s="3"/>
      <c r="E2023" s="8"/>
      <c r="H2023" s="13"/>
    </row>
    <row r="2024" spans="4:8" ht="12.75">
      <c r="D2024" s="3"/>
      <c r="E2024" s="8"/>
      <c r="H2024" s="13"/>
    </row>
    <row r="2025" spans="4:8" ht="12.75">
      <c r="D2025" s="3"/>
      <c r="E2025" s="8"/>
      <c r="H2025" s="13"/>
    </row>
    <row r="2026" spans="4:8" ht="12.75">
      <c r="D2026" s="3"/>
      <c r="E2026" s="8"/>
      <c r="H2026" s="13"/>
    </row>
    <row r="2027" spans="4:8" ht="12.75">
      <c r="D2027" s="3"/>
      <c r="E2027" s="8"/>
      <c r="H2027" s="13"/>
    </row>
    <row r="2028" spans="4:8" ht="12.75">
      <c r="D2028" s="3"/>
      <c r="E2028" s="8"/>
      <c r="H2028" s="13"/>
    </row>
    <row r="2029" spans="4:8" ht="12.75">
      <c r="D2029" s="3"/>
      <c r="E2029" s="8"/>
      <c r="H2029" s="13"/>
    </row>
    <row r="2030" spans="4:8" ht="12.75">
      <c r="D2030" s="3"/>
      <c r="E2030" s="8"/>
      <c r="H2030" s="13"/>
    </row>
    <row r="2031" spans="4:8" ht="12.75">
      <c r="D2031" s="3"/>
      <c r="E2031" s="8"/>
      <c r="H2031" s="13"/>
    </row>
    <row r="2032" spans="4:8" ht="12.75">
      <c r="D2032" s="3"/>
      <c r="E2032" s="8"/>
      <c r="H2032" s="13"/>
    </row>
    <row r="2033" spans="4:8" ht="12.75">
      <c r="D2033" s="3"/>
      <c r="E2033" s="8"/>
      <c r="H2033" s="13"/>
    </row>
    <row r="2034" spans="4:8" ht="12.75">
      <c r="D2034" s="3"/>
      <c r="E2034" s="8"/>
      <c r="H2034" s="13"/>
    </row>
    <row r="2035" spans="4:8" ht="12.75">
      <c r="D2035" s="3"/>
      <c r="E2035" s="8"/>
      <c r="H2035" s="13"/>
    </row>
    <row r="2036" spans="4:8" ht="12.75">
      <c r="D2036" s="3"/>
      <c r="E2036" s="8"/>
      <c r="H2036" s="13"/>
    </row>
    <row r="2037" spans="4:8" ht="12.75">
      <c r="D2037" s="3"/>
      <c r="E2037" s="8"/>
      <c r="H2037" s="13"/>
    </row>
    <row r="2038" spans="4:8" ht="12.75">
      <c r="D2038" s="3"/>
      <c r="E2038" s="8"/>
      <c r="H2038" s="13"/>
    </row>
    <row r="2039" spans="4:8" ht="12.75">
      <c r="D2039" s="3"/>
      <c r="E2039" s="8"/>
      <c r="H2039" s="13"/>
    </row>
    <row r="2040" spans="4:8" ht="12.75">
      <c r="D2040" s="3"/>
      <c r="E2040" s="8"/>
      <c r="H2040" s="13"/>
    </row>
    <row r="2041" spans="4:8" ht="12.75">
      <c r="D2041" s="3"/>
      <c r="E2041" s="8"/>
      <c r="H2041" s="13"/>
    </row>
    <row r="2042" spans="4:8" ht="12.75">
      <c r="D2042" s="3"/>
      <c r="E2042" s="8"/>
      <c r="H2042" s="13"/>
    </row>
    <row r="2043" spans="4:8" ht="12.75">
      <c r="D2043" s="3"/>
      <c r="E2043" s="8"/>
      <c r="H2043" s="13"/>
    </row>
    <row r="2044" spans="4:8" ht="12.75">
      <c r="D2044" s="3"/>
      <c r="E2044" s="8"/>
      <c r="H2044" s="13"/>
    </row>
    <row r="2045" spans="4:8" ht="12.75">
      <c r="D2045" s="3"/>
      <c r="E2045" s="8"/>
      <c r="H2045" s="13"/>
    </row>
    <row r="2046" spans="4:8" ht="12.75">
      <c r="D2046" s="3"/>
      <c r="E2046" s="8"/>
      <c r="H2046" s="13"/>
    </row>
    <row r="2047" spans="4:8" ht="12.75">
      <c r="D2047" s="3"/>
      <c r="E2047" s="8"/>
      <c r="H2047" s="13"/>
    </row>
    <row r="2048" spans="4:8" ht="12.75">
      <c r="D2048" s="3"/>
      <c r="E2048" s="8"/>
      <c r="H2048" s="13"/>
    </row>
    <row r="2049" spans="4:8" ht="12.75">
      <c r="D2049" s="3"/>
      <c r="E2049" s="8"/>
      <c r="H2049" s="13"/>
    </row>
    <row r="2050" spans="4:8" ht="12.75">
      <c r="D2050" s="3"/>
      <c r="E2050" s="8"/>
      <c r="H2050" s="13"/>
    </row>
    <row r="2051" spans="4:8" ht="12.75">
      <c r="D2051" s="3"/>
      <c r="E2051" s="8"/>
      <c r="H2051" s="13"/>
    </row>
    <row r="2052" spans="4:8" ht="12.75">
      <c r="D2052" s="3"/>
      <c r="E2052" s="8"/>
      <c r="H2052" s="13"/>
    </row>
    <row r="2053" spans="4:8" ht="12.75">
      <c r="D2053" s="3"/>
      <c r="E2053" s="8"/>
      <c r="H2053" s="13"/>
    </row>
    <row r="2054" spans="4:8" ht="12.75">
      <c r="D2054" s="3"/>
      <c r="E2054" s="8"/>
      <c r="H2054" s="13"/>
    </row>
    <row r="2055" spans="4:8" ht="12.75">
      <c r="D2055" s="3"/>
      <c r="E2055" s="8"/>
      <c r="H2055" s="13"/>
    </row>
    <row r="2056" spans="4:8" ht="12.75">
      <c r="D2056" s="3"/>
      <c r="E2056" s="8"/>
      <c r="H2056" s="13"/>
    </row>
    <row r="2057" spans="4:8" ht="12.75">
      <c r="D2057" s="3"/>
      <c r="E2057" s="8"/>
      <c r="H2057" s="13"/>
    </row>
    <row r="2058" spans="4:8" ht="12.75">
      <c r="D2058" s="3"/>
      <c r="E2058" s="8"/>
      <c r="H2058" s="13"/>
    </row>
    <row r="2059" spans="4:8" ht="12.75">
      <c r="D2059" s="3"/>
      <c r="E2059" s="8"/>
      <c r="H2059" s="13"/>
    </row>
    <row r="2060" spans="4:8" ht="12.75">
      <c r="D2060" s="3"/>
      <c r="E2060" s="8"/>
      <c r="H2060" s="13"/>
    </row>
    <row r="2061" spans="4:8" ht="12.75">
      <c r="D2061" s="3"/>
      <c r="E2061" s="8"/>
      <c r="H2061" s="13"/>
    </row>
    <row r="2062" spans="4:8" ht="12.75">
      <c r="D2062" s="3"/>
      <c r="E2062" s="8"/>
      <c r="H2062" s="13"/>
    </row>
    <row r="2063" spans="4:8" ht="12.75">
      <c r="D2063" s="3"/>
      <c r="E2063" s="8"/>
      <c r="H2063" s="13"/>
    </row>
    <row r="2064" spans="4:8" ht="12.75">
      <c r="D2064" s="3"/>
      <c r="E2064" s="8"/>
      <c r="H2064" s="13"/>
    </row>
    <row r="2065" spans="4:8" ht="12.75">
      <c r="D2065" s="3"/>
      <c r="E2065" s="8"/>
      <c r="H2065" s="13"/>
    </row>
    <row r="2066" spans="4:8" ht="12.75">
      <c r="D2066" s="3"/>
      <c r="E2066" s="8"/>
      <c r="H2066" s="13"/>
    </row>
    <row r="2067" spans="4:8" ht="12.75">
      <c r="D2067" s="3"/>
      <c r="E2067" s="8"/>
      <c r="H2067" s="13"/>
    </row>
    <row r="2068" spans="4:8" ht="12.75">
      <c r="D2068" s="3"/>
      <c r="E2068" s="8"/>
      <c r="H2068" s="13"/>
    </row>
    <row r="2069" spans="4:8" ht="12.75">
      <c r="D2069" s="3"/>
      <c r="E2069" s="8"/>
      <c r="H2069" s="13"/>
    </row>
    <row r="2070" spans="4:8" ht="12.75">
      <c r="D2070" s="3"/>
      <c r="E2070" s="8"/>
      <c r="H2070" s="13"/>
    </row>
    <row r="2071" spans="4:8" ht="12.75">
      <c r="D2071" s="3"/>
      <c r="E2071" s="8"/>
      <c r="H2071" s="13"/>
    </row>
    <row r="2072" spans="4:8" ht="12.75">
      <c r="D2072" s="3"/>
      <c r="E2072" s="8"/>
      <c r="H2072" s="13"/>
    </row>
    <row r="2073" spans="4:8" ht="12.75">
      <c r="D2073" s="3"/>
      <c r="E2073" s="8"/>
      <c r="H2073" s="13"/>
    </row>
    <row r="2074" spans="4:8" ht="12.75">
      <c r="D2074" s="3"/>
      <c r="E2074" s="8"/>
      <c r="H2074" s="13"/>
    </row>
    <row r="2075" spans="4:8" ht="12.75">
      <c r="D2075" s="3"/>
      <c r="E2075" s="8"/>
      <c r="H2075" s="13"/>
    </row>
    <row r="2076" spans="4:8" ht="12.75">
      <c r="D2076" s="3"/>
      <c r="E2076" s="8"/>
      <c r="H2076" s="13"/>
    </row>
    <row r="2077" spans="4:8" ht="12.75">
      <c r="D2077" s="3"/>
      <c r="E2077" s="8"/>
      <c r="H2077" s="13"/>
    </row>
    <row r="2078" spans="4:8" ht="12.75">
      <c r="D2078" s="3"/>
      <c r="E2078" s="8"/>
      <c r="H2078" s="13"/>
    </row>
    <row r="2079" spans="4:8" ht="12.75">
      <c r="D2079" s="3"/>
      <c r="E2079" s="8"/>
      <c r="H2079" s="13"/>
    </row>
    <row r="2080" spans="4:8" ht="12.75">
      <c r="D2080" s="3"/>
      <c r="E2080" s="8"/>
      <c r="H2080" s="13"/>
    </row>
    <row r="2081" spans="4:8" ht="12.75">
      <c r="D2081" s="3"/>
      <c r="E2081" s="8"/>
      <c r="H2081" s="13"/>
    </row>
    <row r="2082" spans="4:8" ht="12.75">
      <c r="D2082" s="3"/>
      <c r="E2082" s="8"/>
      <c r="H2082" s="13"/>
    </row>
    <row r="2083" spans="4:8" ht="12.75">
      <c r="D2083" s="3"/>
      <c r="E2083" s="8"/>
      <c r="H2083" s="13"/>
    </row>
    <row r="2084" spans="4:8" ht="12.75">
      <c r="D2084" s="3"/>
      <c r="E2084" s="8"/>
      <c r="H2084" s="13"/>
    </row>
    <row r="2085" spans="4:8" ht="12.75">
      <c r="D2085" s="3"/>
      <c r="E2085" s="8"/>
      <c r="H2085" s="13"/>
    </row>
    <row r="2086" spans="4:8" ht="12.75">
      <c r="D2086" s="3"/>
      <c r="E2086" s="8"/>
      <c r="H2086" s="13"/>
    </row>
    <row r="2087" spans="4:8" ht="12.75">
      <c r="D2087" s="3"/>
      <c r="E2087" s="8"/>
      <c r="H2087" s="13"/>
    </row>
    <row r="2088" spans="4:8" ht="12.75">
      <c r="D2088" s="3"/>
      <c r="E2088" s="8"/>
      <c r="H2088" s="13"/>
    </row>
    <row r="2089" spans="4:8" ht="12.75">
      <c r="D2089" s="3"/>
      <c r="H2089" s="13"/>
    </row>
    <row r="2090" spans="4:8" ht="12.75">
      <c r="D2090" s="3"/>
      <c r="H2090" s="13"/>
    </row>
    <row r="2091" spans="4:8" ht="12.75">
      <c r="D2091" s="3"/>
      <c r="H2091" s="13"/>
    </row>
    <row r="2092" spans="4:8" ht="12.75">
      <c r="D2092" s="3"/>
      <c r="H2092" s="13"/>
    </row>
    <row r="2093" spans="4:8" ht="12.75">
      <c r="D2093" s="3"/>
      <c r="H2093" s="13"/>
    </row>
    <row r="2094" spans="4:8" ht="12.75">
      <c r="D2094" s="3"/>
      <c r="H2094" s="13"/>
    </row>
    <row r="2095" spans="4:8" ht="12.75">
      <c r="D2095" s="3"/>
      <c r="H2095" s="13"/>
    </row>
    <row r="2096" spans="4:8" ht="12.75">
      <c r="D2096" s="3"/>
      <c r="H2096" s="13"/>
    </row>
    <row r="2097" spans="4:8" ht="12.75">
      <c r="D2097" s="3"/>
      <c r="H2097" s="13"/>
    </row>
    <row r="2098" spans="4:8" ht="12.75">
      <c r="D2098" s="3"/>
      <c r="H2098" s="13"/>
    </row>
    <row r="2099" spans="4:8" ht="12.75">
      <c r="D2099" s="3"/>
      <c r="H2099" s="13"/>
    </row>
    <row r="2100" spans="4:8" ht="12.75">
      <c r="D2100" s="3"/>
      <c r="H2100" s="13"/>
    </row>
    <row r="2101" spans="4:8" ht="12.75">
      <c r="D2101" s="3"/>
      <c r="H2101" s="13"/>
    </row>
    <row r="2102" spans="4:8" ht="12.75">
      <c r="D2102" s="3"/>
      <c r="H2102" s="13"/>
    </row>
    <row r="2103" spans="4:8" ht="12.75">
      <c r="D2103" s="3"/>
      <c r="H2103" s="13"/>
    </row>
    <row r="2104" spans="4:8" ht="12.75">
      <c r="D2104" s="3"/>
      <c r="H2104" s="13"/>
    </row>
    <row r="2105" spans="4:8" ht="12.75">
      <c r="D2105" s="3"/>
      <c r="H2105" s="13"/>
    </row>
    <row r="2106" spans="4:8" ht="12.75">
      <c r="D2106" s="3"/>
      <c r="H2106" s="13"/>
    </row>
    <row r="2107" spans="4:8" ht="12.75">
      <c r="D2107" s="3"/>
      <c r="H2107" s="13"/>
    </row>
    <row r="2108" spans="4:8" ht="12.75">
      <c r="D2108" s="3"/>
      <c r="H2108" s="13"/>
    </row>
    <row r="2109" spans="4:8" ht="12.75">
      <c r="D2109" s="3"/>
      <c r="H2109" s="13"/>
    </row>
    <row r="2110" spans="4:8" ht="12.75">
      <c r="D2110" s="3"/>
      <c r="H2110" s="13"/>
    </row>
    <row r="2111" spans="4:8" ht="12.75">
      <c r="D2111" s="3"/>
      <c r="H2111" s="13"/>
    </row>
    <row r="2112" spans="4:8" ht="12.75">
      <c r="D2112" s="3"/>
      <c r="H2112" s="13"/>
    </row>
    <row r="2113" spans="4:8" ht="12.75">
      <c r="D2113" s="3"/>
      <c r="H2113" s="13"/>
    </row>
    <row r="2114" spans="4:8" ht="12.75">
      <c r="D2114" s="3"/>
      <c r="H2114" s="13"/>
    </row>
    <row r="2115" spans="4:8" ht="12.75">
      <c r="D2115" s="3"/>
      <c r="H2115" s="13"/>
    </row>
    <row r="2116" spans="4:8" ht="12.75">
      <c r="D2116" s="3"/>
      <c r="H2116" s="13"/>
    </row>
    <row r="2117" spans="4:8" ht="12.75">
      <c r="D2117" s="3"/>
      <c r="H2117" s="13"/>
    </row>
    <row r="2118" spans="4:8" ht="12.75">
      <c r="D2118" s="3"/>
      <c r="H2118" s="13"/>
    </row>
    <row r="2119" spans="4:8" ht="12.75">
      <c r="D2119" s="3"/>
      <c r="H2119" s="13"/>
    </row>
    <row r="2120" spans="4:8" ht="12.75">
      <c r="D2120" s="3"/>
      <c r="H2120" s="13"/>
    </row>
    <row r="2121" spans="4:8" ht="12.75">
      <c r="D2121" s="3"/>
      <c r="H2121" s="13"/>
    </row>
    <row r="2122" spans="4:8" ht="12.75">
      <c r="D2122" s="3"/>
      <c r="H2122" s="13"/>
    </row>
    <row r="2123" spans="4:8" ht="12.75">
      <c r="D2123" s="3"/>
      <c r="H2123" s="13"/>
    </row>
    <row r="2124" spans="4:8" ht="12.75">
      <c r="D2124" s="3"/>
      <c r="H2124" s="13"/>
    </row>
    <row r="2125" spans="4:8" ht="12.75">
      <c r="D2125" s="3"/>
      <c r="H2125" s="13"/>
    </row>
    <row r="2126" spans="4:8" ht="12.75">
      <c r="D2126" s="3"/>
      <c r="H2126" s="13"/>
    </row>
    <row r="2127" spans="4:8" ht="12.75">
      <c r="D2127" s="3"/>
      <c r="H2127" s="13"/>
    </row>
    <row r="2128" spans="4:8" ht="12.75">
      <c r="D2128" s="3"/>
      <c r="H2128" s="13"/>
    </row>
    <row r="2129" spans="4:8" ht="12.75">
      <c r="D2129" s="3"/>
      <c r="H2129" s="13"/>
    </row>
    <row r="2130" spans="4:8" ht="12.75">
      <c r="D2130" s="3"/>
      <c r="H2130" s="13"/>
    </row>
    <row r="2131" spans="4:8" ht="12.75">
      <c r="D2131" s="3"/>
      <c r="H2131" s="13"/>
    </row>
    <row r="2132" spans="4:8" ht="12.75">
      <c r="D2132" s="3"/>
      <c r="H2132" s="13"/>
    </row>
    <row r="2133" spans="4:8" ht="12.75">
      <c r="D2133" s="3"/>
      <c r="H2133" s="13"/>
    </row>
    <row r="2134" spans="4:8" ht="12.75">
      <c r="D2134" s="3"/>
      <c r="H2134" s="13"/>
    </row>
    <row r="2135" spans="4:8" ht="12.75">
      <c r="D2135" s="3"/>
      <c r="H2135" s="13"/>
    </row>
    <row r="2136" spans="4:8" ht="12.75">
      <c r="D2136" s="3"/>
      <c r="H2136" s="13"/>
    </row>
    <row r="2137" spans="4:8" ht="12.75">
      <c r="D2137" s="3"/>
      <c r="H2137" s="13"/>
    </row>
    <row r="2138" spans="4:8" ht="12.75">
      <c r="D2138" s="3"/>
      <c r="H2138" s="13"/>
    </row>
    <row r="2139" spans="4:8" ht="12.75">
      <c r="D2139" s="3"/>
      <c r="H2139" s="13"/>
    </row>
    <row r="2140" spans="4:8" ht="12.75">
      <c r="D2140" s="3"/>
      <c r="H2140" s="13"/>
    </row>
    <row r="2141" spans="4:8" ht="12.75">
      <c r="D2141" s="3"/>
      <c r="H2141" s="13"/>
    </row>
    <row r="2142" spans="4:8" ht="12.75">
      <c r="D2142" s="3"/>
      <c r="H2142" s="13"/>
    </row>
    <row r="2143" spans="4:8" ht="12.75">
      <c r="D2143" s="3"/>
      <c r="H2143" s="13"/>
    </row>
    <row r="2144" spans="4:8" ht="12.75">
      <c r="D2144" s="3"/>
      <c r="H2144" s="13"/>
    </row>
    <row r="2145" spans="4:8" ht="12.75">
      <c r="D2145" s="3"/>
      <c r="H2145" s="13"/>
    </row>
    <row r="2146" spans="4:8" ht="12.75">
      <c r="D2146" s="3"/>
      <c r="H2146" s="13"/>
    </row>
    <row r="2147" spans="4:8" ht="12.75">
      <c r="D2147" s="3"/>
      <c r="H2147" s="13"/>
    </row>
    <row r="2148" spans="4:8" ht="12.75">
      <c r="D2148" s="3"/>
      <c r="H2148" s="13"/>
    </row>
    <row r="2149" spans="4:8" ht="12.75">
      <c r="D2149" s="3"/>
      <c r="H2149" s="13"/>
    </row>
    <row r="2150" spans="4:8" ht="12.75">
      <c r="D2150" s="3"/>
      <c r="H2150" s="13"/>
    </row>
    <row r="2151" spans="4:8" ht="12.75">
      <c r="D2151" s="3"/>
      <c r="H2151" s="13"/>
    </row>
    <row r="2152" spans="4:8" ht="12.75">
      <c r="D2152" s="3"/>
      <c r="H2152" s="13"/>
    </row>
    <row r="2153" spans="4:8" ht="12.75">
      <c r="D2153" s="3"/>
      <c r="H2153" s="13"/>
    </row>
    <row r="2154" spans="4:8" ht="12.75">
      <c r="D2154" s="3"/>
      <c r="H2154" s="13"/>
    </row>
    <row r="2155" spans="4:8" ht="12.75">
      <c r="D2155" s="3"/>
      <c r="H2155" s="13"/>
    </row>
    <row r="2156" spans="4:8" ht="12.75">
      <c r="D2156" s="3"/>
      <c r="H2156" s="13"/>
    </row>
    <row r="2157" spans="4:8" ht="12.75">
      <c r="D2157" s="3"/>
      <c r="H2157" s="13"/>
    </row>
    <row r="2158" spans="4:8" ht="12.75">
      <c r="D2158" s="3"/>
      <c r="H2158" s="13"/>
    </row>
    <row r="2159" spans="4:8" ht="12.75">
      <c r="D2159" s="3"/>
      <c r="H2159" s="13"/>
    </row>
    <row r="2160" spans="4:8" ht="12.75">
      <c r="D2160" s="3"/>
      <c r="H2160" s="13"/>
    </row>
    <row r="2161" spans="4:8" ht="12.75">
      <c r="D2161" s="3"/>
      <c r="H2161" s="13"/>
    </row>
    <row r="2162" spans="4:8" ht="12.75">
      <c r="D2162" s="3"/>
      <c r="H2162" s="13"/>
    </row>
    <row r="2163" spans="4:8" ht="12.75">
      <c r="D2163" s="3"/>
      <c r="H2163" s="13"/>
    </row>
    <row r="2164" spans="4:8" ht="12.75">
      <c r="D2164" s="3"/>
      <c r="H2164" s="13"/>
    </row>
    <row r="2165" spans="4:8" ht="12.75">
      <c r="D2165" s="3"/>
      <c r="H2165" s="13"/>
    </row>
    <row r="2166" spans="4:8" ht="12.75">
      <c r="D2166" s="3"/>
      <c r="H2166" s="13"/>
    </row>
    <row r="2167" spans="4:8" ht="12.75">
      <c r="D2167" s="3"/>
      <c r="H2167" s="13"/>
    </row>
    <row r="2168" spans="4:8" ht="12.75">
      <c r="D2168" s="3"/>
      <c r="H2168" s="13"/>
    </row>
    <row r="2169" spans="4:8" ht="12.75">
      <c r="D2169" s="3"/>
      <c r="H2169" s="13"/>
    </row>
    <row r="2170" spans="4:8" ht="12.75">
      <c r="D2170" s="3"/>
      <c r="H2170" s="13"/>
    </row>
    <row r="2171" spans="4:8" ht="12.75">
      <c r="D2171" s="3"/>
      <c r="H2171" s="13"/>
    </row>
    <row r="2172" spans="4:8" ht="12.75">
      <c r="D2172" s="3"/>
      <c r="H2172" s="13"/>
    </row>
    <row r="2173" spans="4:8" ht="12.75">
      <c r="D2173" s="3"/>
      <c r="H2173" s="13"/>
    </row>
    <row r="2174" spans="4:8" ht="12.75">
      <c r="D2174" s="3"/>
      <c r="H2174" s="13"/>
    </row>
    <row r="2175" spans="4:8" ht="12.75">
      <c r="D2175" s="3"/>
      <c r="H2175" s="13"/>
    </row>
    <row r="2176" spans="4:8" ht="12.75">
      <c r="D2176" s="3"/>
      <c r="H2176" s="13"/>
    </row>
    <row r="2177" spans="4:8" ht="12.75">
      <c r="D2177" s="3"/>
      <c r="H2177" s="13"/>
    </row>
    <row r="2178" spans="4:8" ht="12.75">
      <c r="D2178" s="3"/>
      <c r="H2178" s="13"/>
    </row>
    <row r="2179" spans="4:8" ht="12.75">
      <c r="D2179" s="3"/>
      <c r="H2179" s="13"/>
    </row>
    <row r="2180" spans="4:8" ht="12.75">
      <c r="D2180" s="3"/>
      <c r="H2180" s="13"/>
    </row>
    <row r="2181" spans="4:8" ht="12.75">
      <c r="D2181" s="3"/>
      <c r="H2181" s="13"/>
    </row>
    <row r="2182" spans="4:8" ht="12.75">
      <c r="D2182" s="3"/>
      <c r="H2182" s="13"/>
    </row>
    <row r="2183" spans="4:8" ht="12.75">
      <c r="D2183" s="3"/>
      <c r="H2183" s="13"/>
    </row>
    <row r="2184" spans="4:8" ht="12.75">
      <c r="D2184" s="3"/>
      <c r="H2184" s="13"/>
    </row>
    <row r="2185" spans="4:8" ht="12.75">
      <c r="D2185" s="3"/>
      <c r="H2185" s="13"/>
    </row>
    <row r="2186" spans="4:8" ht="12.75">
      <c r="D2186" s="3"/>
      <c r="H2186" s="13"/>
    </row>
    <row r="2187" spans="4:8" ht="12.75">
      <c r="D2187" s="3"/>
      <c r="H2187" s="13"/>
    </row>
    <row r="2188" spans="4:8" ht="12.75">
      <c r="D2188" s="3"/>
      <c r="H2188" s="13"/>
    </row>
    <row r="2189" spans="4:8" ht="12.75">
      <c r="D2189" s="3"/>
      <c r="H2189" s="13"/>
    </row>
    <row r="2190" spans="4:8" ht="12.75">
      <c r="D2190" s="3"/>
      <c r="H2190" s="13"/>
    </row>
    <row r="2191" spans="4:8" ht="12.75">
      <c r="D2191" s="3"/>
      <c r="H2191" s="13"/>
    </row>
    <row r="2192" spans="4:8" ht="12.75">
      <c r="D2192" s="3"/>
      <c r="H2192" s="13"/>
    </row>
    <row r="2193" spans="4:8" ht="12.75">
      <c r="D2193" s="3"/>
      <c r="H2193" s="13"/>
    </row>
    <row r="2194" spans="4:8" ht="12.75">
      <c r="D2194" s="3"/>
      <c r="H2194" s="13"/>
    </row>
    <row r="2195" spans="4:8" ht="12.75">
      <c r="D2195" s="3"/>
      <c r="H2195" s="13"/>
    </row>
    <row r="2196" spans="4:8" ht="12.75">
      <c r="D2196" s="3"/>
      <c r="H2196" s="13"/>
    </row>
    <row r="2197" spans="4:8" ht="12.75">
      <c r="D2197" s="3"/>
      <c r="H2197" s="13"/>
    </row>
    <row r="2198" spans="4:8" ht="12.75">
      <c r="D2198" s="3"/>
      <c r="H2198" s="13"/>
    </row>
    <row r="2199" spans="4:8" ht="12.75">
      <c r="D2199" s="3"/>
      <c r="H2199" s="13"/>
    </row>
    <row r="2200" spans="4:8" ht="12.75">
      <c r="D2200" s="3"/>
      <c r="H2200" s="13"/>
    </row>
    <row r="2201" spans="4:8" ht="12.75">
      <c r="D2201" s="3"/>
      <c r="H2201" s="13"/>
    </row>
    <row r="2202" spans="4:8" ht="12.75">
      <c r="D2202" s="3"/>
      <c r="H2202" s="13"/>
    </row>
    <row r="2203" spans="4:8" ht="12.75">
      <c r="D2203" s="3"/>
      <c r="H2203" s="13"/>
    </row>
    <row r="2204" spans="4:8" ht="12.75">
      <c r="D2204" s="3"/>
      <c r="H2204" s="13"/>
    </row>
    <row r="2205" spans="4:8" ht="12.75">
      <c r="D2205" s="3"/>
      <c r="H2205" s="13"/>
    </row>
    <row r="2206" spans="4:8" ht="12.75">
      <c r="D2206" s="3"/>
      <c r="H2206" s="13"/>
    </row>
    <row r="2207" spans="4:8" ht="12.75">
      <c r="D2207" s="3"/>
      <c r="H2207" s="13"/>
    </row>
    <row r="2208" spans="4:8" ht="12.75">
      <c r="D2208" s="3"/>
      <c r="H2208" s="13"/>
    </row>
    <row r="2209" spans="4:8" ht="12.75">
      <c r="D2209" s="3"/>
      <c r="H2209" s="13"/>
    </row>
    <row r="2210" spans="4:8" ht="12.75">
      <c r="D2210" s="3"/>
      <c r="H2210" s="13"/>
    </row>
    <row r="2211" spans="4:8" ht="12.75">
      <c r="D2211" s="3"/>
      <c r="H2211" s="13"/>
    </row>
    <row r="2212" spans="4:8" ht="12.75">
      <c r="D2212" s="3"/>
      <c r="H2212" s="13"/>
    </row>
    <row r="2213" spans="4:8" ht="12.75">
      <c r="D2213" s="3"/>
      <c r="H2213" s="13"/>
    </row>
    <row r="2214" spans="4:8" ht="12.75">
      <c r="D2214" s="3"/>
      <c r="H2214" s="13"/>
    </row>
    <row r="2215" spans="4:8" ht="12.75">
      <c r="D2215" s="3"/>
      <c r="H2215" s="13"/>
    </row>
    <row r="2216" spans="4:8" ht="12.75">
      <c r="D2216" s="3"/>
      <c r="H2216" s="13"/>
    </row>
    <row r="2217" spans="4:8" ht="12.75">
      <c r="D2217" s="3"/>
      <c r="H2217" s="13"/>
    </row>
    <row r="2218" spans="4:8" ht="12.75">
      <c r="D2218" s="3"/>
      <c r="H2218" s="13"/>
    </row>
    <row r="2219" spans="4:8" ht="12.75">
      <c r="D2219" s="3"/>
      <c r="H2219" s="13"/>
    </row>
    <row r="2220" spans="4:8" ht="12.75">
      <c r="D2220" s="3"/>
      <c r="H2220" s="13"/>
    </row>
    <row r="2221" spans="4:8" ht="12.75">
      <c r="D2221" s="3"/>
      <c r="H2221" s="13"/>
    </row>
    <row r="2222" spans="4:8" ht="12.75">
      <c r="D2222" s="3"/>
      <c r="H2222" s="13"/>
    </row>
    <row r="2223" spans="4:8" ht="12.75">
      <c r="D2223" s="3"/>
      <c r="H2223" s="13"/>
    </row>
    <row r="2224" spans="4:8" ht="12.75">
      <c r="D2224" s="3"/>
      <c r="H2224" s="13"/>
    </row>
    <row r="2225" spans="4:8" ht="12.75">
      <c r="D2225" s="3"/>
      <c r="H2225" s="13"/>
    </row>
    <row r="2226" spans="4:8" ht="12.75">
      <c r="D2226" s="3"/>
      <c r="H2226" s="13"/>
    </row>
    <row r="2227" spans="4:8" ht="12.75">
      <c r="D2227" s="3"/>
      <c r="H2227" s="13"/>
    </row>
    <row r="2228" spans="4:8" ht="12.75">
      <c r="D2228" s="3"/>
      <c r="H2228" s="13"/>
    </row>
    <row r="2229" spans="4:8" ht="12.75">
      <c r="D2229" s="3"/>
      <c r="H2229" s="13"/>
    </row>
    <row r="2230" spans="4:8" ht="12.75">
      <c r="D2230" s="3"/>
      <c r="H2230" s="13"/>
    </row>
    <row r="2231" spans="4:8" ht="12.75">
      <c r="D2231" s="3"/>
      <c r="H2231" s="13"/>
    </row>
    <row r="2232" spans="4:8" ht="12.75">
      <c r="D2232" s="3"/>
      <c r="H2232" s="13"/>
    </row>
    <row r="2233" spans="4:8" ht="12.75">
      <c r="D2233" s="3"/>
      <c r="H2233" s="13"/>
    </row>
    <row r="2234" spans="4:8" ht="12.75">
      <c r="D2234" s="3"/>
      <c r="H2234" s="13"/>
    </row>
    <row r="2235" spans="4:8" ht="12.75">
      <c r="D2235" s="3"/>
      <c r="H2235" s="13"/>
    </row>
    <row r="2236" spans="4:8" ht="12.75">
      <c r="D2236" s="3"/>
      <c r="H2236" s="13"/>
    </row>
    <row r="2237" spans="4:8" ht="12.75">
      <c r="D2237" s="3"/>
      <c r="H2237" s="13"/>
    </row>
    <row r="2238" spans="4:8" ht="12.75">
      <c r="D2238" s="3"/>
      <c r="H2238" s="13"/>
    </row>
    <row r="2239" spans="4:8" ht="12.75">
      <c r="D2239" s="3"/>
      <c r="H2239" s="13"/>
    </row>
    <row r="2240" spans="4:8" ht="12.75">
      <c r="D2240" s="3"/>
      <c r="H2240" s="13"/>
    </row>
    <row r="2241" spans="4:8" ht="12.75">
      <c r="D2241" s="3"/>
      <c r="H2241" s="13"/>
    </row>
    <row r="2242" spans="4:8" ht="12.75">
      <c r="D2242" s="3"/>
      <c r="H2242" s="13"/>
    </row>
    <row r="2243" spans="4:8" ht="12.75">
      <c r="D2243" s="3"/>
      <c r="H2243" s="13"/>
    </row>
    <row r="2244" spans="4:8" ht="12.75">
      <c r="D2244" s="3"/>
      <c r="H2244" s="13"/>
    </row>
    <row r="2245" spans="4:8" ht="12.75">
      <c r="D2245" s="3"/>
      <c r="H2245" s="13"/>
    </row>
    <row r="2246" spans="4:8" ht="12.75">
      <c r="D2246" s="3"/>
      <c r="H2246" s="13"/>
    </row>
    <row r="2247" spans="4:8" ht="12.75">
      <c r="D2247" s="3"/>
      <c r="H2247" s="13"/>
    </row>
    <row r="2248" spans="4:8" ht="12.75">
      <c r="D2248" s="3"/>
      <c r="H2248" s="13"/>
    </row>
    <row r="2249" spans="4:8" ht="12.75">
      <c r="D2249" s="3"/>
      <c r="H2249" s="13"/>
    </row>
    <row r="2250" spans="4:8" ht="12.75">
      <c r="D2250" s="3"/>
      <c r="H2250" s="13"/>
    </row>
    <row r="2251" spans="4:8" ht="12.75">
      <c r="D2251" s="3"/>
      <c r="H2251" s="13"/>
    </row>
    <row r="2252" spans="4:8" ht="12.75">
      <c r="D2252" s="3"/>
      <c r="H2252" s="13"/>
    </row>
    <row r="2253" spans="4:8" ht="12.75">
      <c r="D2253" s="3"/>
      <c r="H2253" s="13"/>
    </row>
    <row r="2254" spans="4:8" ht="12.75">
      <c r="D2254" s="3"/>
      <c r="H2254" s="13"/>
    </row>
    <row r="2255" spans="4:8" ht="12.75">
      <c r="D2255" s="3"/>
      <c r="H2255" s="13"/>
    </row>
    <row r="2256" spans="4:8" ht="12.75">
      <c r="D2256" s="3"/>
      <c r="H2256" s="13"/>
    </row>
    <row r="2257" spans="4:8" ht="12.75">
      <c r="D2257" s="3"/>
      <c r="H2257" s="13"/>
    </row>
    <row r="2258" spans="4:8" ht="12.75">
      <c r="D2258" s="3"/>
      <c r="H2258" s="13"/>
    </row>
    <row r="2259" spans="4:8" ht="12.75">
      <c r="D2259" s="3"/>
      <c r="H2259" s="13"/>
    </row>
    <row r="2260" spans="4:8" ht="12.75">
      <c r="D2260" s="3"/>
      <c r="H2260" s="13"/>
    </row>
    <row r="2261" spans="4:8" ht="12.75">
      <c r="D2261" s="3"/>
      <c r="H2261" s="13"/>
    </row>
    <row r="2262" spans="4:8" ht="12.75">
      <c r="D2262" s="3"/>
      <c r="H2262" s="13"/>
    </row>
    <row r="2263" spans="4:8" ht="12.75">
      <c r="D2263" s="3"/>
      <c r="H2263" s="13"/>
    </row>
    <row r="2264" spans="4:8" ht="12.75">
      <c r="D2264" s="3"/>
      <c r="H2264" s="13"/>
    </row>
    <row r="2265" spans="4:8" ht="12.75">
      <c r="D2265" s="3"/>
      <c r="H2265" s="13"/>
    </row>
    <row r="2266" spans="4:8" ht="12.75">
      <c r="D2266" s="3"/>
      <c r="H2266" s="13"/>
    </row>
    <row r="2267" spans="4:8" ht="12.75">
      <c r="D2267" s="3"/>
      <c r="H2267" s="13"/>
    </row>
    <row r="2268" spans="4:8" ht="12.75">
      <c r="D2268" s="3"/>
      <c r="H2268" s="13"/>
    </row>
    <row r="2269" spans="4:8" ht="12.75">
      <c r="D2269" s="3"/>
      <c r="H2269" s="13"/>
    </row>
    <row r="2270" spans="4:8" ht="12.75">
      <c r="D2270" s="3"/>
      <c r="H2270" s="13"/>
    </row>
    <row r="2271" spans="4:8" ht="12.75">
      <c r="D2271" s="3"/>
      <c r="H2271" s="13"/>
    </row>
    <row r="2272" spans="4:8" ht="12.75">
      <c r="D2272" s="3"/>
      <c r="H2272" s="13"/>
    </row>
    <row r="2273" spans="4:8" ht="12.75">
      <c r="D2273" s="3"/>
      <c r="H2273" s="13"/>
    </row>
    <row r="2274" spans="4:8" ht="12.75">
      <c r="D2274" s="3"/>
      <c r="H2274" s="13"/>
    </row>
    <row r="2275" spans="4:8" ht="12.75">
      <c r="D2275" s="3"/>
      <c r="H2275" s="13"/>
    </row>
    <row r="2276" spans="4:8" ht="12.75">
      <c r="D2276" s="3"/>
      <c r="H2276" s="13"/>
    </row>
    <row r="2277" spans="4:8" ht="12.75">
      <c r="D2277" s="3"/>
      <c r="H2277" s="13"/>
    </row>
    <row r="2278" spans="4:8" ht="12.75">
      <c r="D2278" s="3"/>
      <c r="H2278" s="13"/>
    </row>
    <row r="2279" spans="4:8" ht="12.75">
      <c r="D2279" s="3"/>
      <c r="H2279" s="13"/>
    </row>
    <row r="2280" spans="4:8" ht="12.75">
      <c r="D2280" s="3"/>
      <c r="H2280" s="13"/>
    </row>
    <row r="2281" spans="4:8" ht="12.75">
      <c r="D2281" s="3"/>
      <c r="H2281" s="13"/>
    </row>
    <row r="2282" spans="4:8" ht="12.75">
      <c r="D2282" s="3"/>
      <c r="H2282" s="13"/>
    </row>
    <row r="2283" spans="4:8" ht="12.75">
      <c r="D2283" s="3"/>
      <c r="H2283" s="13"/>
    </row>
    <row r="2284" spans="4:8" ht="12.75">
      <c r="D2284" s="3"/>
      <c r="H2284" s="13"/>
    </row>
    <row r="2285" spans="4:8" ht="12.75">
      <c r="D2285" s="3"/>
      <c r="H2285" s="13"/>
    </row>
    <row r="2286" spans="4:8" ht="12.75">
      <c r="D2286" s="3"/>
      <c r="H2286" s="13"/>
    </row>
    <row r="2287" spans="4:8" ht="12.75">
      <c r="D2287" s="3"/>
      <c r="H2287" s="13"/>
    </row>
    <row r="2288" spans="4:8" ht="12.75">
      <c r="D2288" s="3"/>
      <c r="H2288" s="13"/>
    </row>
    <row r="2289" spans="4:8" ht="12.75">
      <c r="D2289" s="3"/>
      <c r="H2289" s="13"/>
    </row>
    <row r="2290" spans="4:8" ht="12.75">
      <c r="D2290" s="3"/>
      <c r="H2290" s="13"/>
    </row>
    <row r="2291" spans="4:8" ht="12.75">
      <c r="D2291" s="3"/>
      <c r="H2291" s="13"/>
    </row>
    <row r="2292" spans="4:8" ht="12.75">
      <c r="D2292" s="3"/>
      <c r="H2292" s="13"/>
    </row>
    <row r="2293" spans="4:8" ht="12.75">
      <c r="D2293" s="3"/>
      <c r="H2293" s="13"/>
    </row>
    <row r="2294" spans="4:8" ht="12.75">
      <c r="D2294" s="3"/>
      <c r="H2294" s="13"/>
    </row>
    <row r="2295" spans="4:8" ht="12.75">
      <c r="D2295" s="3"/>
      <c r="H2295" s="13"/>
    </row>
    <row r="2296" spans="4:8" ht="12.75">
      <c r="D2296" s="3"/>
      <c r="H2296" s="13"/>
    </row>
    <row r="2297" spans="4:8" ht="12.75">
      <c r="D2297" s="3"/>
      <c r="H2297" s="13"/>
    </row>
    <row r="2298" spans="4:8" ht="12.75">
      <c r="D2298" s="3"/>
      <c r="H2298" s="13"/>
    </row>
    <row r="2299" spans="4:8" ht="12.75">
      <c r="D2299" s="3"/>
      <c r="H2299" s="13"/>
    </row>
    <row r="2300" spans="4:8" ht="12.75">
      <c r="D2300" s="3"/>
      <c r="H2300" s="13"/>
    </row>
    <row r="2301" spans="4:8" ht="12.75">
      <c r="D2301" s="3"/>
      <c r="H2301" s="13"/>
    </row>
    <row r="2302" spans="4:8" ht="12.75">
      <c r="D2302" s="3"/>
      <c r="H2302" s="13"/>
    </row>
    <row r="2303" spans="4:8" ht="12.75">
      <c r="D2303" s="3"/>
      <c r="H2303" s="13"/>
    </row>
    <row r="2304" spans="4:8" ht="12.75">
      <c r="D2304" s="3"/>
      <c r="H2304" s="13"/>
    </row>
    <row r="2305" spans="4:8" ht="12.75">
      <c r="D2305" s="3"/>
      <c r="H2305" s="13"/>
    </row>
    <row r="2306" spans="4:8" ht="12.75">
      <c r="D2306" s="3"/>
      <c r="H2306" s="13"/>
    </row>
    <row r="2307" spans="4:8" ht="12.75">
      <c r="D2307" s="3"/>
      <c r="H2307" s="13"/>
    </row>
    <row r="2308" spans="4:8" ht="12.75">
      <c r="D2308" s="3"/>
      <c r="H2308" s="13"/>
    </row>
    <row r="2309" spans="4:8" ht="12.75">
      <c r="D2309" s="3"/>
      <c r="H2309" s="13"/>
    </row>
    <row r="2310" spans="4:8" ht="12.75">
      <c r="D2310" s="3"/>
      <c r="H2310" s="13"/>
    </row>
    <row r="2311" spans="4:8" ht="12.75">
      <c r="D2311" s="3"/>
      <c r="H2311" s="13"/>
    </row>
    <row r="2312" spans="4:8" ht="12.75">
      <c r="D2312" s="3"/>
      <c r="H2312" s="13"/>
    </row>
    <row r="2313" spans="4:8" ht="12.75">
      <c r="D2313" s="3"/>
      <c r="H2313" s="13"/>
    </row>
    <row r="2314" spans="4:8" ht="12.75">
      <c r="D2314" s="3"/>
      <c r="H2314" s="13"/>
    </row>
    <row r="2315" spans="4:8" ht="12.75">
      <c r="D2315" s="3"/>
      <c r="H2315" s="13"/>
    </row>
    <row r="2316" spans="4:8" ht="12.75">
      <c r="D2316" s="3"/>
      <c r="H2316" s="13"/>
    </row>
    <row r="2317" spans="4:8" ht="12.75">
      <c r="D2317" s="3"/>
      <c r="H2317" s="13"/>
    </row>
    <row r="2318" spans="4:8" ht="12.75">
      <c r="D2318" s="3"/>
      <c r="H2318" s="13"/>
    </row>
    <row r="2319" spans="4:8" ht="12.75">
      <c r="D2319" s="3"/>
      <c r="H2319" s="13"/>
    </row>
    <row r="2320" spans="4:8" ht="12.75">
      <c r="D2320" s="3"/>
      <c r="H2320" s="13"/>
    </row>
    <row r="2321" spans="4:8" ht="12.75">
      <c r="D2321" s="3"/>
      <c r="H2321" s="13"/>
    </row>
    <row r="2322" spans="4:8" ht="12.75">
      <c r="D2322" s="3"/>
      <c r="H2322" s="13"/>
    </row>
    <row r="2323" spans="4:8" ht="12.75">
      <c r="D2323" s="3"/>
      <c r="H2323" s="13"/>
    </row>
    <row r="2324" spans="4:8" ht="12.75">
      <c r="D2324" s="3"/>
      <c r="H2324" s="13"/>
    </row>
    <row r="2325" spans="4:8" ht="12.75">
      <c r="D2325" s="3"/>
      <c r="H2325" s="13"/>
    </row>
    <row r="2326" spans="4:8" ht="12.75">
      <c r="D2326" s="3"/>
      <c r="H2326" s="13"/>
    </row>
    <row r="2327" spans="4:8" ht="12.75">
      <c r="D2327" s="3"/>
      <c r="H2327" s="13"/>
    </row>
    <row r="2328" spans="4:8" ht="12.75">
      <c r="D2328" s="3"/>
      <c r="H2328" s="13"/>
    </row>
    <row r="2329" spans="4:8" ht="12.75">
      <c r="D2329" s="3"/>
      <c r="H2329" s="13"/>
    </row>
    <row r="2330" spans="4:8" ht="12.75">
      <c r="D2330" s="3"/>
      <c r="H2330" s="13"/>
    </row>
    <row r="2331" spans="4:8" ht="12.75">
      <c r="D2331" s="3"/>
      <c r="H2331" s="13"/>
    </row>
    <row r="2332" spans="4:8" ht="12.75">
      <c r="D2332" s="3"/>
      <c r="H2332" s="13"/>
    </row>
    <row r="2333" spans="4:8" ht="12.75">
      <c r="D2333" s="3"/>
      <c r="H2333" s="13"/>
    </row>
    <row r="2334" spans="4:8" ht="12.75">
      <c r="D2334" s="3"/>
      <c r="H2334" s="13"/>
    </row>
    <row r="2335" spans="4:8" ht="12.75">
      <c r="D2335" s="3"/>
      <c r="H2335" s="13"/>
    </row>
    <row r="2336" spans="4:8" ht="12.75">
      <c r="D2336" s="3"/>
      <c r="H2336" s="13"/>
    </row>
    <row r="2337" spans="4:8" ht="12.75">
      <c r="D2337" s="3"/>
      <c r="H2337" s="13"/>
    </row>
    <row r="2338" spans="4:8" ht="12.75">
      <c r="D2338" s="3"/>
      <c r="H2338" s="13"/>
    </row>
    <row r="2339" spans="4:8" ht="12.75">
      <c r="D2339" s="3"/>
      <c r="H2339" s="13"/>
    </row>
    <row r="2340" spans="4:8" ht="12.75">
      <c r="D2340" s="3"/>
      <c r="H2340" s="13"/>
    </row>
    <row r="2341" spans="4:8" ht="12.75">
      <c r="D2341" s="3"/>
      <c r="H2341" s="13"/>
    </row>
    <row r="2342" spans="4:8" ht="12.75">
      <c r="D2342" s="3"/>
      <c r="H2342" s="13"/>
    </row>
    <row r="2343" spans="4:8" ht="12.75">
      <c r="D2343" s="3"/>
      <c r="H2343" s="13"/>
    </row>
    <row r="2344" spans="4:8" ht="12.75">
      <c r="D2344" s="3"/>
      <c r="H2344" s="13"/>
    </row>
    <row r="2345" spans="4:8" ht="12.75">
      <c r="D2345" s="3"/>
      <c r="H2345" s="13"/>
    </row>
    <row r="2346" spans="4:8" ht="12.75">
      <c r="D2346" s="3"/>
      <c r="H2346" s="13"/>
    </row>
    <row r="2347" spans="4:8" ht="12.75">
      <c r="D2347" s="3"/>
      <c r="H2347" s="13"/>
    </row>
    <row r="2348" spans="4:8" ht="12.75">
      <c r="D2348" s="3"/>
      <c r="H2348" s="13"/>
    </row>
    <row r="2349" spans="4:8" ht="12.75">
      <c r="D2349" s="3"/>
      <c r="H2349" s="13"/>
    </row>
    <row r="2350" spans="4:8" ht="12.75">
      <c r="D2350" s="3"/>
      <c r="H2350" s="13"/>
    </row>
    <row r="2351" spans="4:8" ht="12.75">
      <c r="D2351" s="3"/>
      <c r="H2351" s="13"/>
    </row>
    <row r="2352" spans="4:8" ht="12.75">
      <c r="D2352" s="3"/>
      <c r="H2352" s="13"/>
    </row>
    <row r="2353" spans="4:8" ht="12.75">
      <c r="D2353" s="3"/>
      <c r="H2353" s="13"/>
    </row>
    <row r="2354" spans="4:8" ht="12.75">
      <c r="D2354" s="3"/>
      <c r="H2354" s="13"/>
    </row>
    <row r="2355" spans="4:8" ht="12.75">
      <c r="D2355" s="3"/>
      <c r="H2355" s="13"/>
    </row>
    <row r="2356" spans="4:8" ht="12.75">
      <c r="D2356" s="3"/>
      <c r="H2356" s="13"/>
    </row>
    <row r="2357" spans="4:8" ht="12.75">
      <c r="D2357" s="3"/>
      <c r="H2357" s="13"/>
    </row>
    <row r="2358" spans="4:8" ht="12.75">
      <c r="D2358" s="3"/>
      <c r="H2358" s="13"/>
    </row>
    <row r="2359" spans="4:8" ht="12.75">
      <c r="D2359" s="3"/>
      <c r="H2359" s="13"/>
    </row>
    <row r="2360" spans="4:8" ht="12.75">
      <c r="D2360" s="3"/>
      <c r="H2360" s="13"/>
    </row>
    <row r="2361" spans="4:8" ht="12.75">
      <c r="D2361" s="3"/>
      <c r="H2361" s="13"/>
    </row>
    <row r="2362" spans="4:8" ht="12.75">
      <c r="D2362" s="3"/>
      <c r="H2362" s="13"/>
    </row>
    <row r="2363" spans="4:8" ht="12.75">
      <c r="D2363" s="3"/>
      <c r="H2363" s="13"/>
    </row>
    <row r="2364" spans="4:8" ht="12.75">
      <c r="D2364" s="3"/>
      <c r="H2364" s="13"/>
    </row>
    <row r="2365" spans="4:8" ht="12.75">
      <c r="D2365" s="3"/>
      <c r="H2365" s="13"/>
    </row>
    <row r="2366" spans="4:8" ht="12.75">
      <c r="D2366" s="3"/>
      <c r="H2366" s="13"/>
    </row>
    <row r="2367" spans="4:8" ht="12.75">
      <c r="D2367" s="3"/>
      <c r="H2367" s="13"/>
    </row>
    <row r="2368" spans="4:8" ht="12.75">
      <c r="D2368" s="3"/>
      <c r="H2368" s="13"/>
    </row>
    <row r="2369" spans="4:8" ht="12.75">
      <c r="D2369" s="3"/>
      <c r="H2369" s="13"/>
    </row>
    <row r="2370" spans="4:8" ht="12.75">
      <c r="D2370" s="3"/>
      <c r="H2370" s="13"/>
    </row>
    <row r="2371" spans="4:8" ht="12.75">
      <c r="D2371" s="3"/>
      <c r="H2371" s="13"/>
    </row>
    <row r="2372" spans="4:8" ht="12.75">
      <c r="D2372" s="3"/>
      <c r="H2372" s="13"/>
    </row>
    <row r="2373" spans="4:8" ht="12.75">
      <c r="D2373" s="3"/>
      <c r="H2373" s="13"/>
    </row>
    <row r="2374" spans="4:8" ht="12.75">
      <c r="D2374" s="3"/>
      <c r="H2374" s="13"/>
    </row>
    <row r="2375" spans="4:8" ht="12.75">
      <c r="D2375" s="3"/>
      <c r="H2375" s="13"/>
    </row>
    <row r="2376" spans="4:8" ht="12.75">
      <c r="D2376" s="3"/>
      <c r="H2376" s="13"/>
    </row>
    <row r="2377" spans="4:8" ht="12.75">
      <c r="D2377" s="3"/>
      <c r="H2377" s="13"/>
    </row>
    <row r="2378" spans="4:8" ht="12.75">
      <c r="D2378" s="3"/>
      <c r="H2378" s="13"/>
    </row>
    <row r="2379" spans="4:8" ht="12.75">
      <c r="D2379" s="3"/>
      <c r="H2379" s="13"/>
    </row>
    <row r="2380" spans="4:8" ht="12.75">
      <c r="D2380" s="3"/>
      <c r="H2380" s="13"/>
    </row>
    <row r="2381" spans="4:8" ht="12.75">
      <c r="D2381" s="3"/>
      <c r="H2381" s="13"/>
    </row>
    <row r="2382" spans="4:8" ht="12.75">
      <c r="D2382" s="3"/>
      <c r="H2382" s="13"/>
    </row>
    <row r="2383" spans="4:8" ht="12.75">
      <c r="D2383" s="3"/>
      <c r="H2383" s="13"/>
    </row>
    <row r="2384" spans="4:8" ht="12.75">
      <c r="D2384" s="3"/>
      <c r="H2384" s="13"/>
    </row>
    <row r="2385" spans="4:8" ht="12.75">
      <c r="D2385" s="3"/>
      <c r="H2385" s="13"/>
    </row>
    <row r="2386" spans="4:8" ht="12.75">
      <c r="D2386" s="3"/>
      <c r="H2386" s="13"/>
    </row>
    <row r="2387" spans="4:8" ht="12.75">
      <c r="D2387" s="3"/>
      <c r="H2387" s="13"/>
    </row>
    <row r="2388" spans="4:8" ht="12.75">
      <c r="D2388" s="3"/>
      <c r="H2388" s="13"/>
    </row>
    <row r="2389" spans="4:8" ht="12.75">
      <c r="D2389" s="3"/>
      <c r="H2389" s="13"/>
    </row>
    <row r="2390" spans="4:8" ht="12.75">
      <c r="D2390" s="3"/>
      <c r="H2390" s="13"/>
    </row>
    <row r="2391" spans="4:8" ht="12.75">
      <c r="D2391" s="3"/>
      <c r="H2391" s="13"/>
    </row>
    <row r="2392" spans="4:8" ht="12.75">
      <c r="D2392" s="3"/>
      <c r="H2392" s="13"/>
    </row>
    <row r="2393" spans="4:8" ht="12.75">
      <c r="D2393" s="3"/>
      <c r="H2393" s="13"/>
    </row>
    <row r="2394" spans="4:8" ht="12.75">
      <c r="D2394" s="3"/>
      <c r="H2394" s="13"/>
    </row>
    <row r="2395" spans="4:8" ht="12.75">
      <c r="D2395" s="3"/>
      <c r="H2395" s="13"/>
    </row>
    <row r="2396" spans="4:8" ht="12.75">
      <c r="D2396" s="3"/>
      <c r="H2396" s="13"/>
    </row>
    <row r="2397" spans="4:8" ht="12.75">
      <c r="D2397" s="3"/>
      <c r="H2397" s="13"/>
    </row>
    <row r="2398" spans="4:8" ht="12.75">
      <c r="D2398" s="3"/>
      <c r="H2398" s="13"/>
    </row>
    <row r="2399" spans="4:8" ht="12.75">
      <c r="D2399" s="3"/>
      <c r="H2399" s="13"/>
    </row>
    <row r="2400" spans="4:8" ht="12.75">
      <c r="D2400" s="3"/>
      <c r="H2400" s="13"/>
    </row>
    <row r="2401" spans="4:8" ht="12.75">
      <c r="D2401" s="3"/>
      <c r="H2401" s="13"/>
    </row>
    <row r="2402" spans="4:8" ht="12.75">
      <c r="D2402" s="3"/>
      <c r="H2402" s="13"/>
    </row>
    <row r="2403" spans="4:8" ht="12.75">
      <c r="D2403" s="3"/>
      <c r="H2403" s="13"/>
    </row>
    <row r="2404" spans="4:8" ht="12.75">
      <c r="D2404" s="3"/>
      <c r="H2404" s="13"/>
    </row>
    <row r="2405" spans="4:8" ht="12.75">
      <c r="D2405" s="3"/>
      <c r="H2405" s="13"/>
    </row>
    <row r="2406" spans="4:8" ht="12.75">
      <c r="D2406" s="3"/>
      <c r="H2406" s="13"/>
    </row>
    <row r="2407" spans="4:8" ht="12.75">
      <c r="D2407" s="3"/>
      <c r="H2407" s="13"/>
    </row>
    <row r="2408" spans="4:8" ht="12.75">
      <c r="D2408" s="3"/>
      <c r="H2408" s="13"/>
    </row>
    <row r="2409" spans="4:8" ht="12.75">
      <c r="D2409" s="3"/>
      <c r="H2409" s="13"/>
    </row>
    <row r="2410" spans="4:8" ht="12.75">
      <c r="D2410" s="3"/>
      <c r="H2410" s="13"/>
    </row>
    <row r="2411" spans="4:8" ht="12.75">
      <c r="D2411" s="3"/>
      <c r="H2411" s="13"/>
    </row>
    <row r="2412" spans="4:8" ht="12.75">
      <c r="D2412" s="3"/>
      <c r="H2412" s="13"/>
    </row>
    <row r="2413" spans="4:8" ht="12.75">
      <c r="D2413" s="3"/>
      <c r="H2413" s="13"/>
    </row>
    <row r="2414" spans="4:8" ht="12.75">
      <c r="D2414" s="3"/>
      <c r="H2414" s="13"/>
    </row>
    <row r="2415" spans="4:8" ht="12.75">
      <c r="D2415" s="3"/>
      <c r="H2415" s="13"/>
    </row>
    <row r="2416" spans="4:8" ht="12.75">
      <c r="D2416" s="3"/>
      <c r="H2416" s="13"/>
    </row>
    <row r="2417" spans="4:8" ht="12.75">
      <c r="D2417" s="3"/>
      <c r="H2417" s="13"/>
    </row>
    <row r="2418" spans="4:8" ht="12.75">
      <c r="D2418" s="3"/>
      <c r="H2418" s="13"/>
    </row>
    <row r="2419" spans="4:8" ht="12.75">
      <c r="D2419" s="3"/>
      <c r="H2419" s="13"/>
    </row>
    <row r="2420" spans="4:8" ht="12.75">
      <c r="D2420" s="3"/>
      <c r="H2420" s="13"/>
    </row>
    <row r="2421" spans="4:8" ht="12.75">
      <c r="D2421" s="3"/>
      <c r="H2421" s="13"/>
    </row>
    <row r="2422" spans="4:8" ht="12.75">
      <c r="D2422" s="3"/>
      <c r="H2422" s="13"/>
    </row>
    <row r="2423" spans="4:8" ht="12.75">
      <c r="D2423" s="3"/>
      <c r="H2423" s="13"/>
    </row>
    <row r="2424" spans="4:8" ht="12.75">
      <c r="D2424" s="3"/>
      <c r="H2424" s="13"/>
    </row>
    <row r="2425" spans="4:8" ht="12.75">
      <c r="D2425" s="3"/>
      <c r="H2425" s="13"/>
    </row>
    <row r="2426" spans="4:8" ht="12.75">
      <c r="D2426" s="3"/>
      <c r="H2426" s="13"/>
    </row>
    <row r="2427" spans="4:8" ht="12.75">
      <c r="D2427" s="3"/>
      <c r="H2427" s="13"/>
    </row>
    <row r="2428" spans="4:8" ht="12.75">
      <c r="D2428" s="3"/>
      <c r="H2428" s="13"/>
    </row>
    <row r="2429" spans="4:8" ht="12.75">
      <c r="D2429" s="3"/>
      <c r="H2429" s="13"/>
    </row>
    <row r="2430" spans="4:8" ht="12.75">
      <c r="D2430" s="3"/>
      <c r="H2430" s="13"/>
    </row>
    <row r="2431" spans="4:8" ht="12.75">
      <c r="D2431" s="3"/>
      <c r="H2431" s="13"/>
    </row>
    <row r="2432" spans="4:8" ht="12.75">
      <c r="D2432" s="3"/>
      <c r="H2432" s="13"/>
    </row>
    <row r="2433" spans="4:8" ht="12.75">
      <c r="D2433" s="3"/>
      <c r="H2433" s="13"/>
    </row>
    <row r="2434" spans="4:8" ht="12.75">
      <c r="D2434" s="3"/>
      <c r="H2434" s="13"/>
    </row>
    <row r="2435" spans="4:8" ht="12.75">
      <c r="D2435" s="3"/>
      <c r="H2435" s="13"/>
    </row>
    <row r="2436" spans="4:8" ht="12.75">
      <c r="D2436" s="3"/>
      <c r="H2436" s="13"/>
    </row>
    <row r="2437" spans="4:8" ht="12.75">
      <c r="D2437" s="3"/>
      <c r="H2437" s="13"/>
    </row>
    <row r="2438" spans="4:8" ht="12.75">
      <c r="D2438" s="3"/>
      <c r="H2438" s="13"/>
    </row>
    <row r="2439" spans="4:8" ht="12.75">
      <c r="D2439" s="3"/>
      <c r="H2439" s="13"/>
    </row>
    <row r="2440" spans="4:8" ht="12.75">
      <c r="D2440" s="3"/>
      <c r="H2440" s="13"/>
    </row>
    <row r="2441" spans="4:8" ht="12.75">
      <c r="D2441" s="3"/>
      <c r="H2441" s="13"/>
    </row>
    <row r="2442" spans="4:8" ht="12.75">
      <c r="D2442" s="3"/>
      <c r="H2442" s="13"/>
    </row>
    <row r="2443" spans="4:8" ht="12.75">
      <c r="D2443" s="3"/>
      <c r="H2443" s="13"/>
    </row>
    <row r="2444" spans="4:8" ht="12.75">
      <c r="D2444" s="3"/>
      <c r="H2444" s="13"/>
    </row>
    <row r="2445" spans="4:8" ht="12.75">
      <c r="D2445" s="3"/>
      <c r="H2445" s="13"/>
    </row>
    <row r="2446" spans="4:8" ht="12.75">
      <c r="D2446" s="3"/>
      <c r="H2446" s="13"/>
    </row>
    <row r="2447" spans="4:8" ht="12.75">
      <c r="D2447" s="3"/>
      <c r="H2447" s="13"/>
    </row>
    <row r="2448" spans="4:8" ht="12.75">
      <c r="D2448" s="3"/>
      <c r="H2448" s="13"/>
    </row>
    <row r="2449" spans="4:8" ht="12.75">
      <c r="D2449" s="3"/>
      <c r="H2449" s="13"/>
    </row>
    <row r="2450" spans="4:8" ht="12.75">
      <c r="D2450" s="3"/>
      <c r="H2450" s="13"/>
    </row>
    <row r="2451" spans="4:8" ht="12.75">
      <c r="D2451" s="3"/>
      <c r="H2451" s="13"/>
    </row>
    <row r="2452" spans="4:8" ht="12.75">
      <c r="D2452" s="3"/>
      <c r="H2452" s="13"/>
    </row>
    <row r="2453" spans="4:8" ht="12.75">
      <c r="D2453" s="3"/>
      <c r="H2453" s="13"/>
    </row>
    <row r="2454" spans="4:8" ht="12.75">
      <c r="D2454" s="3"/>
      <c r="H2454" s="13"/>
    </row>
    <row r="2455" spans="4:8" ht="12.75">
      <c r="D2455" s="3"/>
      <c r="H2455" s="13"/>
    </row>
    <row r="2456" spans="4:8" ht="12.75">
      <c r="D2456" s="3"/>
      <c r="H2456" s="13"/>
    </row>
    <row r="2457" spans="4:8" ht="12.75">
      <c r="D2457" s="3"/>
      <c r="H2457" s="13"/>
    </row>
    <row r="2458" spans="4:8" ht="12.75">
      <c r="D2458" s="3"/>
      <c r="H2458" s="13"/>
    </row>
    <row r="2459" spans="4:8" ht="12.75">
      <c r="D2459" s="3"/>
      <c r="H2459" s="13"/>
    </row>
    <row r="2460" spans="4:8" ht="12.75">
      <c r="D2460" s="3"/>
      <c r="H2460" s="13"/>
    </row>
    <row r="2461" spans="4:8" ht="12.75">
      <c r="D2461" s="3"/>
      <c r="H2461" s="13"/>
    </row>
    <row r="2462" spans="4:8" ht="12.75">
      <c r="D2462" s="3"/>
      <c r="H2462" s="13"/>
    </row>
    <row r="2463" spans="4:8" ht="12.75">
      <c r="D2463" s="3"/>
      <c r="H2463" s="13"/>
    </row>
    <row r="2464" spans="4:8" ht="12.75">
      <c r="D2464" s="3"/>
      <c r="H2464" s="13"/>
    </row>
    <row r="2465" spans="4:8" ht="12.75">
      <c r="D2465" s="3"/>
      <c r="H2465" s="13"/>
    </row>
    <row r="2466" spans="4:8" ht="12.75">
      <c r="D2466" s="3"/>
      <c r="H2466" s="13"/>
    </row>
    <row r="2467" spans="4:8" ht="12.75">
      <c r="D2467" s="3"/>
      <c r="H2467" s="13"/>
    </row>
    <row r="2468" spans="4:8" ht="12.75">
      <c r="D2468" s="3"/>
      <c r="H2468" s="13"/>
    </row>
    <row r="2469" spans="4:8" ht="12.75">
      <c r="D2469" s="3"/>
      <c r="H2469" s="13"/>
    </row>
    <row r="2470" spans="4:8" ht="12.75">
      <c r="D2470" s="3"/>
      <c r="H2470" s="13"/>
    </row>
    <row r="2471" spans="4:8" ht="12.75">
      <c r="D2471" s="3"/>
      <c r="H2471" s="13"/>
    </row>
    <row r="2472" spans="4:8" ht="12.75">
      <c r="D2472" s="3"/>
      <c r="H2472" s="13"/>
    </row>
    <row r="2473" spans="4:8" ht="12.75">
      <c r="D2473" s="3"/>
      <c r="H2473" s="13"/>
    </row>
    <row r="2474" spans="4:8" ht="12.75">
      <c r="D2474" s="3"/>
      <c r="H2474" s="13"/>
    </row>
    <row r="2475" spans="4:8" ht="12.75">
      <c r="D2475" s="3"/>
      <c r="H2475" s="13"/>
    </row>
    <row r="2476" spans="4:8" ht="12.75">
      <c r="D2476" s="3"/>
      <c r="H2476" s="13"/>
    </row>
    <row r="2477" spans="4:8" ht="12.75">
      <c r="D2477" s="3"/>
      <c r="H2477" s="13"/>
    </row>
    <row r="2478" spans="4:8" ht="12.75">
      <c r="D2478" s="3"/>
      <c r="H2478" s="13"/>
    </row>
    <row r="2479" spans="4:8" ht="12.75">
      <c r="D2479" s="3"/>
      <c r="H2479" s="13"/>
    </row>
    <row r="2480" spans="4:8" ht="12.75">
      <c r="D2480" s="3"/>
      <c r="H2480" s="13"/>
    </row>
    <row r="2481" spans="4:8" ht="12.75">
      <c r="D2481" s="3"/>
      <c r="H2481" s="13"/>
    </row>
    <row r="2482" spans="4:8" ht="12.75">
      <c r="D2482" s="3"/>
      <c r="H2482" s="13"/>
    </row>
    <row r="2483" spans="4:8" ht="12.75">
      <c r="D2483" s="3"/>
      <c r="H2483" s="13"/>
    </row>
    <row r="2484" spans="4:8" ht="12.75">
      <c r="D2484" s="3"/>
      <c r="H2484" s="13"/>
    </row>
    <row r="2485" spans="4:8" ht="12.75">
      <c r="D2485" s="3"/>
      <c r="H2485" s="13"/>
    </row>
    <row r="2486" spans="4:8" ht="12.75">
      <c r="D2486" s="3"/>
      <c r="H2486" s="13"/>
    </row>
    <row r="2487" spans="4:8" ht="12.75">
      <c r="D2487" s="3"/>
      <c r="H2487" s="13"/>
    </row>
    <row r="2488" spans="4:8" ht="12.75">
      <c r="D2488" s="3"/>
      <c r="H2488" s="13"/>
    </row>
    <row r="2489" spans="4:8" ht="12.75">
      <c r="D2489" s="3"/>
      <c r="H2489" s="13"/>
    </row>
    <row r="2490" spans="4:8" ht="12.75">
      <c r="D2490" s="3"/>
      <c r="H2490" s="13"/>
    </row>
    <row r="2491" spans="4:8" ht="12.75">
      <c r="D2491" s="3"/>
      <c r="H2491" s="13"/>
    </row>
    <row r="2492" spans="4:8" ht="12.75">
      <c r="D2492" s="3"/>
      <c r="H2492" s="13"/>
    </row>
    <row r="2493" spans="4:8" ht="12.75">
      <c r="D2493" s="3"/>
      <c r="H2493" s="13"/>
    </row>
    <row r="2494" spans="4:8" ht="12.75">
      <c r="D2494" s="3"/>
      <c r="H2494" s="13"/>
    </row>
    <row r="2495" spans="4:8" ht="12.75">
      <c r="D2495" s="3"/>
      <c r="H2495" s="13"/>
    </row>
    <row r="2496" spans="4:8" ht="12.75">
      <c r="D2496" s="3"/>
      <c r="H2496" s="13"/>
    </row>
    <row r="2497" spans="4:8" ht="12.75">
      <c r="D2497" s="3"/>
      <c r="H2497" s="13"/>
    </row>
    <row r="2498" spans="4:8" ht="12.75">
      <c r="D2498" s="3"/>
      <c r="H2498" s="13"/>
    </row>
    <row r="2499" spans="4:8" ht="12.75">
      <c r="D2499" s="3"/>
      <c r="H2499" s="13"/>
    </row>
    <row r="2500" spans="4:8" ht="12.75">
      <c r="D2500" s="3"/>
      <c r="H2500" s="13"/>
    </row>
    <row r="2501" spans="4:8" ht="12.75">
      <c r="D2501" s="3"/>
      <c r="H2501" s="13"/>
    </row>
    <row r="2502" spans="4:8" ht="12.75">
      <c r="D2502" s="3"/>
      <c r="H2502" s="13"/>
    </row>
    <row r="2503" spans="4:8" ht="12.75">
      <c r="D2503" s="3"/>
      <c r="H2503" s="13"/>
    </row>
    <row r="2504" spans="4:8" ht="12.75">
      <c r="D2504" s="3"/>
      <c r="H2504" s="13"/>
    </row>
    <row r="2505" spans="4:8" ht="12.75">
      <c r="D2505" s="3"/>
      <c r="H2505" s="13"/>
    </row>
    <row r="2506" spans="4:8" ht="12.75">
      <c r="D2506" s="3"/>
      <c r="H2506" s="13"/>
    </row>
    <row r="2507" spans="4:8" ht="12.75">
      <c r="D2507" s="3"/>
      <c r="H2507" s="13"/>
    </row>
    <row r="2508" spans="4:8" ht="12.75">
      <c r="D2508" s="3"/>
      <c r="H2508" s="13"/>
    </row>
    <row r="2509" spans="4:8" ht="12.75">
      <c r="D2509" s="3"/>
      <c r="H2509" s="13"/>
    </row>
    <row r="2510" spans="4:8" ht="12.75">
      <c r="D2510" s="3"/>
      <c r="H2510" s="13"/>
    </row>
    <row r="2511" spans="4:8" ht="12.75">
      <c r="D2511" s="3"/>
      <c r="H2511" s="13"/>
    </row>
    <row r="2512" spans="4:8" ht="12.75">
      <c r="D2512" s="3"/>
      <c r="H2512" s="13"/>
    </row>
    <row r="2513" spans="4:8" ht="12.75">
      <c r="D2513" s="3"/>
      <c r="H2513" s="13"/>
    </row>
    <row r="2514" spans="4:8" ht="12.75">
      <c r="D2514" s="3"/>
      <c r="H2514" s="13"/>
    </row>
    <row r="2515" spans="4:8" ht="12.75">
      <c r="D2515" s="3"/>
      <c r="H2515" s="13"/>
    </row>
    <row r="2516" spans="4:8" ht="12.75">
      <c r="D2516" s="3"/>
      <c r="H2516" s="13"/>
    </row>
    <row r="2517" spans="4:8" ht="12.75">
      <c r="D2517" s="3"/>
      <c r="H2517" s="13"/>
    </row>
    <row r="2518" spans="4:8" ht="12.75">
      <c r="D2518" s="3"/>
      <c r="H2518" s="13"/>
    </row>
    <row r="2519" spans="4:8" ht="12.75">
      <c r="D2519" s="3"/>
      <c r="H2519" s="13"/>
    </row>
    <row r="2520" spans="4:8" ht="12.75">
      <c r="D2520" s="3"/>
      <c r="H2520" s="13"/>
    </row>
    <row r="2521" spans="4:8" ht="12.75">
      <c r="D2521" s="3"/>
      <c r="H2521" s="13"/>
    </row>
    <row r="2522" spans="4:8" ht="12.75">
      <c r="D2522" s="3"/>
      <c r="H2522" s="13"/>
    </row>
    <row r="2523" spans="4:8" ht="12.75">
      <c r="D2523" s="3"/>
      <c r="H2523" s="13"/>
    </row>
    <row r="2524" spans="4:8" ht="12.75">
      <c r="D2524" s="3"/>
      <c r="H2524" s="13"/>
    </row>
    <row r="2525" spans="4:8" ht="12.75">
      <c r="D2525" s="3"/>
      <c r="H2525" s="13"/>
    </row>
    <row r="2526" spans="4:8" ht="12.75">
      <c r="D2526" s="3"/>
      <c r="H2526" s="13"/>
    </row>
    <row r="2527" spans="4:8" ht="12.75">
      <c r="D2527" s="3"/>
      <c r="H2527" s="13"/>
    </row>
    <row r="2528" spans="4:8" ht="12.75">
      <c r="D2528" s="3"/>
      <c r="H2528" s="13"/>
    </row>
    <row r="2529" spans="4:8" ht="12.75">
      <c r="D2529" s="3"/>
      <c r="H2529" s="13"/>
    </row>
    <row r="2530" spans="4:8" ht="12.75">
      <c r="D2530" s="3"/>
      <c r="H2530" s="13"/>
    </row>
    <row r="2531" spans="4:8" ht="12.75">
      <c r="D2531" s="3"/>
      <c r="H2531" s="13"/>
    </row>
    <row r="2532" spans="4:8" ht="12.75">
      <c r="D2532" s="3"/>
      <c r="H2532" s="13"/>
    </row>
    <row r="2533" spans="4:8" ht="12.75">
      <c r="D2533" s="3"/>
      <c r="H2533" s="13"/>
    </row>
    <row r="2534" spans="4:8" ht="12.75">
      <c r="D2534" s="3"/>
      <c r="H2534" s="13"/>
    </row>
    <row r="2535" spans="4:8" ht="12.75">
      <c r="D2535" s="3"/>
      <c r="H2535" s="13"/>
    </row>
    <row r="2536" spans="4:8" ht="12.75">
      <c r="D2536" s="3"/>
      <c r="H2536" s="13"/>
    </row>
    <row r="2537" spans="4:8" ht="12.75">
      <c r="D2537" s="3"/>
      <c r="H2537" s="13"/>
    </row>
    <row r="2538" spans="4:8" ht="12.75">
      <c r="D2538" s="3"/>
      <c r="H2538" s="13"/>
    </row>
    <row r="2539" spans="4:8" ht="12.75">
      <c r="D2539" s="3"/>
      <c r="H2539" s="13"/>
    </row>
    <row r="2540" spans="4:8" ht="12.75">
      <c r="D2540" s="3"/>
      <c r="H2540" s="13"/>
    </row>
    <row r="2541" spans="4:8" ht="12.75">
      <c r="D2541" s="3"/>
      <c r="H2541" s="13"/>
    </row>
    <row r="2542" spans="4:8" ht="12.75">
      <c r="D2542" s="3"/>
      <c r="H2542" s="13"/>
    </row>
    <row r="2543" spans="4:8" ht="12.75">
      <c r="D2543" s="3"/>
      <c r="H2543" s="13"/>
    </row>
    <row r="2544" spans="4:8" ht="12.75">
      <c r="D2544" s="3"/>
      <c r="H2544" s="13"/>
    </row>
    <row r="2545" spans="4:8" ht="12.75">
      <c r="D2545" s="3"/>
      <c r="H2545" s="13"/>
    </row>
    <row r="2546" spans="4:8" ht="12.75">
      <c r="D2546" s="3"/>
      <c r="H2546" s="13"/>
    </row>
    <row r="2547" spans="4:8" ht="12.75">
      <c r="D2547" s="3"/>
      <c r="H2547" s="13"/>
    </row>
    <row r="2548" spans="4:8" ht="12.75">
      <c r="D2548" s="3"/>
      <c r="H2548" s="13"/>
    </row>
    <row r="2549" spans="4:8" ht="12.75">
      <c r="D2549" s="3"/>
      <c r="H2549" s="13"/>
    </row>
    <row r="2550" spans="4:8" ht="12.75">
      <c r="D2550" s="3"/>
      <c r="H2550" s="13"/>
    </row>
    <row r="2551" spans="4:8" ht="12.75">
      <c r="D2551" s="3"/>
      <c r="H2551" s="13"/>
    </row>
    <row r="2552" spans="4:8" ht="12.75">
      <c r="D2552" s="3"/>
      <c r="H2552" s="13"/>
    </row>
    <row r="2553" spans="4:8" ht="12.75">
      <c r="D2553" s="3"/>
      <c r="H2553" s="13"/>
    </row>
    <row r="2554" spans="4:8" ht="12.75">
      <c r="D2554" s="3"/>
      <c r="H2554" s="13"/>
    </row>
    <row r="2555" spans="4:8" ht="12.75">
      <c r="D2555" s="3"/>
      <c r="H2555" s="13"/>
    </row>
    <row r="2556" spans="4:8" ht="12.75">
      <c r="D2556" s="3"/>
      <c r="H2556" s="13"/>
    </row>
    <row r="2557" spans="4:8" ht="12.75">
      <c r="D2557" s="3"/>
      <c r="H2557" s="13"/>
    </row>
    <row r="2558" spans="4:8" ht="12.75">
      <c r="D2558" s="3"/>
      <c r="H2558" s="13"/>
    </row>
    <row r="2559" spans="4:8" ht="12.75">
      <c r="D2559" s="3"/>
      <c r="H2559" s="13"/>
    </row>
    <row r="2560" spans="4:8" ht="12.75">
      <c r="D2560" s="3"/>
      <c r="H2560" s="13"/>
    </row>
    <row r="2561" spans="4:8" ht="12.75">
      <c r="D2561" s="3"/>
      <c r="H2561" s="13"/>
    </row>
    <row r="2562" spans="4:8" ht="12.75">
      <c r="D2562" s="3"/>
      <c r="H2562" s="13"/>
    </row>
    <row r="2563" spans="4:8" ht="12.75">
      <c r="D2563" s="3"/>
      <c r="H2563" s="13"/>
    </row>
    <row r="2564" spans="4:8" ht="12.75">
      <c r="D2564" s="3"/>
      <c r="H2564" s="13"/>
    </row>
    <row r="2565" spans="4:8" ht="12.75">
      <c r="D2565" s="3"/>
      <c r="H2565" s="13"/>
    </row>
    <row r="2566" spans="4:8" ht="12.75">
      <c r="D2566" s="3"/>
      <c r="H2566" s="13"/>
    </row>
    <row r="2567" spans="4:8" ht="12.75">
      <c r="D2567" s="3"/>
      <c r="H2567" s="13"/>
    </row>
    <row r="2568" spans="4:8" ht="12.75">
      <c r="D2568" s="3"/>
      <c r="H2568" s="13"/>
    </row>
    <row r="2569" spans="4:8" ht="12.75">
      <c r="D2569" s="3"/>
      <c r="H2569" s="13"/>
    </row>
    <row r="2570" spans="4:8" ht="12.75">
      <c r="D2570" s="3"/>
      <c r="H2570" s="13"/>
    </row>
    <row r="2571" spans="4:8" ht="12.75">
      <c r="D2571" s="3"/>
      <c r="H2571" s="13"/>
    </row>
    <row r="2572" spans="4:8" ht="12.75">
      <c r="D2572" s="3"/>
      <c r="H2572" s="13"/>
    </row>
    <row r="2573" spans="4:8" ht="12.75">
      <c r="D2573" s="3"/>
      <c r="H2573" s="13"/>
    </row>
    <row r="2574" spans="4:8" ht="12.75">
      <c r="D2574" s="3"/>
      <c r="H2574" s="13"/>
    </row>
    <row r="2575" spans="4:8" ht="12.75">
      <c r="D2575" s="3"/>
      <c r="H2575" s="13"/>
    </row>
    <row r="2576" spans="4:8" ht="12.75">
      <c r="D2576" s="3"/>
      <c r="H2576" s="13"/>
    </row>
    <row r="2577" spans="4:8" ht="12.75">
      <c r="D2577" s="3"/>
      <c r="H2577" s="13"/>
    </row>
    <row r="2578" spans="4:8" ht="12.75">
      <c r="D2578" s="3"/>
      <c r="H2578" s="13"/>
    </row>
    <row r="2579" spans="4:8" ht="12.75">
      <c r="D2579" s="3"/>
      <c r="H2579" s="13"/>
    </row>
    <row r="2580" spans="4:8" ht="12.75">
      <c r="D2580" s="3"/>
      <c r="H2580" s="13"/>
    </row>
    <row r="2581" spans="4:8" ht="12.75">
      <c r="D2581" s="3"/>
      <c r="H2581" s="13"/>
    </row>
    <row r="2582" spans="4:8" ht="12.75">
      <c r="D2582" s="3"/>
      <c r="H2582" s="13"/>
    </row>
    <row r="2583" spans="4:8" ht="12.75">
      <c r="D2583" s="3"/>
      <c r="H2583" s="13"/>
    </row>
    <row r="2584" spans="4:8" ht="12.75">
      <c r="D2584" s="3"/>
      <c r="H2584" s="13"/>
    </row>
    <row r="2585" spans="4:8" ht="12.75">
      <c r="D2585" s="3"/>
      <c r="H2585" s="13"/>
    </row>
    <row r="2586" spans="4:8" ht="12.75">
      <c r="D2586" s="3"/>
      <c r="H2586" s="13"/>
    </row>
    <row r="2587" spans="4:8" ht="12.75">
      <c r="D2587" s="3"/>
      <c r="H2587" s="13"/>
    </row>
    <row r="2588" spans="4:8" ht="12.75">
      <c r="D2588" s="3"/>
      <c r="H2588" s="13"/>
    </row>
    <row r="2589" spans="4:8" ht="12.75">
      <c r="D2589" s="3"/>
      <c r="H2589" s="13"/>
    </row>
    <row r="2590" spans="4:8" ht="12.75">
      <c r="D2590" s="3"/>
      <c r="H2590" s="13"/>
    </row>
    <row r="2591" spans="4:8" ht="12.75">
      <c r="D2591" s="3"/>
      <c r="H2591" s="13"/>
    </row>
    <row r="2592" spans="4:8" ht="12.75">
      <c r="D2592" s="3"/>
      <c r="H2592" s="13"/>
    </row>
    <row r="2593" spans="4:8" ht="12.75">
      <c r="D2593" s="3"/>
      <c r="H2593" s="13"/>
    </row>
    <row r="2594" spans="4:8" ht="12.75">
      <c r="D2594" s="3"/>
      <c r="H2594" s="13"/>
    </row>
    <row r="2595" spans="4:8" ht="12.75">
      <c r="D2595" s="3"/>
      <c r="H2595" s="13"/>
    </row>
    <row r="2596" spans="4:8" ht="12.75">
      <c r="D2596" s="3"/>
      <c r="H2596" s="13"/>
    </row>
    <row r="2597" spans="4:8" ht="12.75">
      <c r="D2597" s="3"/>
      <c r="H2597" s="13"/>
    </row>
    <row r="2598" spans="4:8" ht="12.75">
      <c r="D2598" s="3"/>
      <c r="H2598" s="13"/>
    </row>
    <row r="2599" spans="4:8" ht="12.75">
      <c r="D2599" s="3"/>
      <c r="H2599" s="13"/>
    </row>
    <row r="2600" spans="4:8" ht="12.75">
      <c r="D2600" s="3"/>
      <c r="H2600" s="13"/>
    </row>
    <row r="2601" spans="4:8" ht="12.75">
      <c r="D2601" s="3"/>
      <c r="H2601" s="13"/>
    </row>
    <row r="2602" spans="4:8" ht="12.75">
      <c r="D2602" s="3"/>
      <c r="H2602" s="13"/>
    </row>
    <row r="2603" spans="4:8" ht="12.75">
      <c r="D2603" s="3"/>
      <c r="H2603" s="13"/>
    </row>
    <row r="2604" spans="4:8" ht="12.75">
      <c r="D2604" s="3"/>
      <c r="H2604" s="13"/>
    </row>
    <row r="2605" spans="4:8" ht="12.75">
      <c r="D2605" s="3"/>
      <c r="H2605" s="13"/>
    </row>
    <row r="2606" spans="4:8" ht="12.75">
      <c r="D2606" s="3"/>
      <c r="H2606" s="13"/>
    </row>
    <row r="2607" spans="4:8" ht="12.75">
      <c r="D2607" s="3"/>
      <c r="H2607" s="13"/>
    </row>
    <row r="2608" spans="4:8" ht="12.75">
      <c r="D2608" s="3"/>
      <c r="H2608" s="13"/>
    </row>
    <row r="2609" spans="4:8" ht="12.75">
      <c r="D2609" s="3"/>
      <c r="H2609" s="13"/>
    </row>
    <row r="2610" spans="4:8" ht="12.75">
      <c r="D2610" s="3"/>
      <c r="H2610" s="13"/>
    </row>
    <row r="2611" spans="4:8" ht="12.75">
      <c r="D2611" s="3"/>
      <c r="H2611" s="13"/>
    </row>
    <row r="2612" spans="4:8" ht="12.75">
      <c r="D2612" s="3"/>
      <c r="H2612" s="13"/>
    </row>
    <row r="2613" spans="4:8" ht="12.75">
      <c r="D2613" s="3"/>
      <c r="H2613" s="13"/>
    </row>
    <row r="2614" spans="4:8" ht="12.75">
      <c r="D2614" s="3"/>
      <c r="H2614" s="13"/>
    </row>
    <row r="2615" spans="4:8" ht="12.75">
      <c r="D2615" s="3"/>
      <c r="H2615" s="13"/>
    </row>
    <row r="2616" spans="4:8" ht="12.75">
      <c r="D2616" s="3"/>
      <c r="H2616" s="13"/>
    </row>
    <row r="2617" spans="4:8" ht="12.75">
      <c r="D2617" s="3"/>
      <c r="H2617" s="13"/>
    </row>
    <row r="2618" spans="4:8" ht="12.75">
      <c r="D2618" s="3"/>
      <c r="H2618" s="13"/>
    </row>
    <row r="2619" spans="4:8" ht="12.75">
      <c r="D2619" s="3"/>
      <c r="H2619" s="13"/>
    </row>
    <row r="2620" spans="4:8" ht="12.75">
      <c r="D2620" s="3"/>
      <c r="H2620" s="13"/>
    </row>
    <row r="2621" spans="4:8" ht="12.75">
      <c r="D2621" s="3"/>
      <c r="H2621" s="13"/>
    </row>
    <row r="2622" spans="4:8" ht="12.75">
      <c r="D2622" s="3"/>
      <c r="H2622" s="13"/>
    </row>
    <row r="2623" spans="4:8" ht="12.75">
      <c r="D2623" s="3"/>
      <c r="H2623" s="13"/>
    </row>
    <row r="2624" spans="4:8" ht="12.75">
      <c r="D2624" s="3"/>
      <c r="H2624" s="13"/>
    </row>
    <row r="2625" spans="4:8" ht="12.75">
      <c r="D2625" s="3"/>
      <c r="H2625" s="13"/>
    </row>
    <row r="2626" spans="4:8" ht="12.75">
      <c r="D2626" s="3"/>
      <c r="H2626" s="13"/>
    </row>
    <row r="2627" spans="4:8" ht="12.75">
      <c r="D2627" s="3"/>
      <c r="H2627" s="13"/>
    </row>
    <row r="2628" spans="4:8" ht="12.75">
      <c r="D2628" s="3"/>
      <c r="H2628" s="13"/>
    </row>
    <row r="2629" spans="4:8" ht="12.75">
      <c r="D2629" s="3"/>
      <c r="H2629" s="13"/>
    </row>
    <row r="2630" spans="4:8" ht="12.75">
      <c r="D2630" s="3"/>
      <c r="H2630" s="13"/>
    </row>
    <row r="2631" spans="4:8" ht="12.75">
      <c r="D2631" s="3"/>
      <c r="H2631" s="13"/>
    </row>
    <row r="2632" spans="4:8" ht="12.75">
      <c r="D2632" s="3"/>
      <c r="H2632" s="13"/>
    </row>
    <row r="2633" spans="4:8" ht="12.75">
      <c r="D2633" s="3"/>
      <c r="H2633" s="13"/>
    </row>
    <row r="2634" spans="4:8" ht="12.75">
      <c r="D2634" s="3"/>
      <c r="H2634" s="13"/>
    </row>
    <row r="2635" spans="4:8" ht="12.75">
      <c r="D2635" s="3"/>
      <c r="H2635" s="13"/>
    </row>
    <row r="2636" spans="4:8" ht="12.75">
      <c r="D2636" s="3"/>
      <c r="H2636" s="13"/>
    </row>
    <row r="2637" spans="4:8" ht="12.75">
      <c r="D2637" s="3"/>
      <c r="H2637" s="13"/>
    </row>
    <row r="2638" spans="4:8" ht="12.75">
      <c r="D2638" s="3"/>
      <c r="H2638" s="13"/>
    </row>
    <row r="2639" spans="4:8" ht="12.75">
      <c r="D2639" s="3"/>
      <c r="H2639" s="13"/>
    </row>
    <row r="2640" spans="4:8" ht="12.75">
      <c r="D2640" s="3"/>
      <c r="H2640" s="13"/>
    </row>
    <row r="2641" spans="4:8" ht="12.75">
      <c r="D2641" s="3"/>
      <c r="H2641" s="13"/>
    </row>
    <row r="2642" spans="4:8" ht="12.75">
      <c r="D2642" s="3"/>
      <c r="H2642" s="13"/>
    </row>
    <row r="2643" spans="4:8" ht="12.75">
      <c r="D2643" s="3"/>
      <c r="H2643" s="13"/>
    </row>
    <row r="2644" spans="4:8" ht="12.75">
      <c r="D2644" s="3"/>
      <c r="H2644" s="13"/>
    </row>
    <row r="2645" spans="4:8" ht="12.75">
      <c r="D2645" s="3"/>
      <c r="H2645" s="13"/>
    </row>
    <row r="2646" spans="4:8" ht="12.75">
      <c r="D2646" s="3"/>
      <c r="H2646" s="13"/>
    </row>
    <row r="2647" spans="4:8" ht="12.75">
      <c r="D2647" s="3"/>
      <c r="H2647" s="13"/>
    </row>
    <row r="2648" spans="4:8" ht="12.75">
      <c r="D2648" s="3"/>
      <c r="H2648" s="13"/>
    </row>
    <row r="2649" spans="4:8" ht="12.75">
      <c r="D2649" s="3"/>
      <c r="H2649" s="13"/>
    </row>
    <row r="2650" spans="4:8" ht="12.75">
      <c r="D2650" s="3"/>
      <c r="H2650" s="13"/>
    </row>
    <row r="2651" spans="4:8" ht="12.75">
      <c r="D2651" s="3"/>
      <c r="H2651" s="13"/>
    </row>
    <row r="2652" spans="4:8" ht="12.75">
      <c r="D2652" s="3"/>
      <c r="H2652" s="13"/>
    </row>
    <row r="2653" spans="4:8" ht="12.75">
      <c r="D2653" s="3"/>
      <c r="H2653" s="13"/>
    </row>
    <row r="2654" spans="4:8" ht="12.75">
      <c r="D2654" s="3"/>
      <c r="H2654" s="13"/>
    </row>
    <row r="2655" spans="4:8" ht="12.75">
      <c r="D2655" s="3"/>
      <c r="H2655" s="13"/>
    </row>
    <row r="2656" spans="4:8" ht="12.75">
      <c r="D2656" s="3"/>
      <c r="H2656" s="13"/>
    </row>
    <row r="2657" spans="4:8" ht="12.75">
      <c r="D2657" s="3"/>
      <c r="H2657" s="13"/>
    </row>
    <row r="2658" spans="4:8" ht="12.75">
      <c r="D2658" s="3"/>
      <c r="H2658" s="13"/>
    </row>
    <row r="2659" spans="4:8" ht="12.75">
      <c r="D2659" s="3"/>
      <c r="H2659" s="13"/>
    </row>
    <row r="2660" spans="4:8" ht="12.75">
      <c r="D2660" s="3"/>
      <c r="H2660" s="13"/>
    </row>
    <row r="2661" spans="4:8" ht="12.75">
      <c r="D2661" s="3"/>
      <c r="H2661" s="13"/>
    </row>
    <row r="2662" spans="4:8" ht="12.75">
      <c r="D2662" s="3"/>
      <c r="H2662" s="13"/>
    </row>
    <row r="2663" spans="4:8" ht="12.75">
      <c r="D2663" s="3"/>
      <c r="H2663" s="13"/>
    </row>
    <row r="2664" spans="4:8" ht="12.75">
      <c r="D2664" s="3"/>
      <c r="H2664" s="13"/>
    </row>
    <row r="2665" spans="4:8" ht="12.75">
      <c r="D2665" s="3"/>
      <c r="H2665" s="13"/>
    </row>
    <row r="2666" spans="4:8" ht="12.75">
      <c r="D2666" s="3"/>
      <c r="H2666" s="13"/>
    </row>
    <row r="2667" spans="4:8" ht="12.75">
      <c r="D2667" s="3"/>
      <c r="H2667" s="13"/>
    </row>
    <row r="2668" spans="4:8" ht="12.75">
      <c r="D2668" s="3"/>
      <c r="H2668" s="13"/>
    </row>
    <row r="2669" spans="4:8" ht="12.75">
      <c r="D2669" s="3"/>
      <c r="H2669" s="13"/>
    </row>
    <row r="2670" spans="4:8" ht="12.75">
      <c r="D2670" s="3"/>
      <c r="H2670" s="13"/>
    </row>
    <row r="2671" spans="4:8" ht="12.75">
      <c r="D2671" s="3"/>
      <c r="H2671" s="13"/>
    </row>
    <row r="2672" spans="4:8" ht="12.75">
      <c r="D2672" s="3"/>
      <c r="H2672" s="13"/>
    </row>
    <row r="2673" spans="4:8" ht="12.75">
      <c r="D2673" s="3"/>
      <c r="H2673" s="13"/>
    </row>
    <row r="2674" spans="4:8" ht="12.75">
      <c r="D2674" s="3"/>
      <c r="H2674" s="13"/>
    </row>
    <row r="2675" spans="4:8" ht="12.75">
      <c r="D2675" s="3"/>
      <c r="H2675" s="13"/>
    </row>
    <row r="2676" spans="4:8" ht="12.75">
      <c r="D2676" s="3"/>
      <c r="H2676" s="13"/>
    </row>
    <row r="2677" spans="4:8" ht="12.75">
      <c r="D2677" s="3"/>
      <c r="H2677" s="13"/>
    </row>
    <row r="2678" spans="4:8" ht="12.75">
      <c r="D2678" s="3"/>
      <c r="H2678" s="13"/>
    </row>
    <row r="2679" spans="4:8" ht="12.75">
      <c r="D2679" s="3"/>
      <c r="H2679" s="13"/>
    </row>
    <row r="2680" spans="4:8" ht="12.75">
      <c r="D2680" s="3"/>
      <c r="H2680" s="13"/>
    </row>
    <row r="2681" spans="4:8" ht="12.75">
      <c r="D2681" s="3"/>
      <c r="H2681" s="13"/>
    </row>
    <row r="2682" spans="4:8" ht="12.75">
      <c r="D2682" s="3"/>
      <c r="H2682" s="13"/>
    </row>
    <row r="2683" spans="4:8" ht="12.75">
      <c r="D2683" s="3"/>
      <c r="H2683" s="13"/>
    </row>
    <row r="2684" spans="4:8" ht="12.75">
      <c r="D2684" s="3"/>
      <c r="H2684" s="13"/>
    </row>
    <row r="2685" spans="4:8" ht="12.75">
      <c r="D2685" s="3"/>
      <c r="H2685" s="13"/>
    </row>
    <row r="2686" spans="4:8" ht="12.75">
      <c r="D2686" s="3"/>
      <c r="H2686" s="13"/>
    </row>
    <row r="2687" spans="4:8" ht="12.75">
      <c r="D2687" s="3"/>
      <c r="H2687" s="13"/>
    </row>
    <row r="2688" spans="4:8" ht="12.75">
      <c r="D2688" s="3"/>
      <c r="H2688" s="13"/>
    </row>
    <row r="2689" spans="4:8" ht="12.75">
      <c r="D2689" s="3"/>
      <c r="H2689" s="13"/>
    </row>
    <row r="2690" spans="4:8" ht="12.75">
      <c r="D2690" s="3"/>
      <c r="H2690" s="13"/>
    </row>
    <row r="2691" spans="4:8" ht="12.75">
      <c r="D2691" s="3"/>
      <c r="H2691" s="13"/>
    </row>
    <row r="2692" spans="4:8" ht="12.75">
      <c r="D2692" s="3"/>
      <c r="H2692" s="13"/>
    </row>
    <row r="2693" spans="4:8" ht="12.75">
      <c r="D2693" s="3"/>
      <c r="H2693" s="13"/>
    </row>
    <row r="2694" spans="4:8" ht="12.75">
      <c r="D2694" s="3"/>
      <c r="H2694" s="13"/>
    </row>
    <row r="2695" spans="4:8" ht="12.75">
      <c r="D2695" s="3"/>
      <c r="H2695" s="13"/>
    </row>
    <row r="2696" spans="4:8" ht="12.75">
      <c r="D2696" s="3"/>
      <c r="H2696" s="13"/>
    </row>
    <row r="2697" spans="4:8" ht="12.75">
      <c r="D2697" s="3"/>
      <c r="H2697" s="13"/>
    </row>
    <row r="2698" spans="4:8" ht="12.75">
      <c r="D2698" s="3"/>
      <c r="H2698" s="13"/>
    </row>
    <row r="2699" spans="4:8" ht="12.75">
      <c r="D2699" s="3"/>
      <c r="H2699" s="13"/>
    </row>
    <row r="2700" spans="4:8" ht="12.75">
      <c r="D2700" s="3"/>
      <c r="H2700" s="13"/>
    </row>
    <row r="2701" spans="4:8" ht="12.75">
      <c r="D2701" s="3"/>
      <c r="H2701" s="13"/>
    </row>
    <row r="2702" spans="4:8" ht="12.75">
      <c r="D2702" s="3"/>
      <c r="H2702" s="13"/>
    </row>
    <row r="2703" spans="4:8" ht="12.75">
      <c r="D2703" s="3"/>
      <c r="H2703" s="13"/>
    </row>
    <row r="2704" spans="4:8" ht="12.75">
      <c r="D2704" s="3"/>
      <c r="H2704" s="13"/>
    </row>
    <row r="2705" spans="4:8" ht="12.75">
      <c r="D2705" s="3"/>
      <c r="H2705" s="13"/>
    </row>
    <row r="2706" spans="4:8" ht="12.75">
      <c r="D2706" s="3"/>
      <c r="H2706" s="13"/>
    </row>
    <row r="2707" spans="4:8" ht="12.75">
      <c r="D2707" s="3"/>
      <c r="H2707" s="13"/>
    </row>
    <row r="2708" spans="4:8" ht="12.75">
      <c r="D2708" s="3"/>
      <c r="H2708" s="13"/>
    </row>
    <row r="2709" spans="4:8" ht="12.75">
      <c r="D2709" s="3"/>
      <c r="H2709" s="13"/>
    </row>
    <row r="2710" spans="4:8" ht="12.75">
      <c r="D2710" s="3"/>
      <c r="H2710" s="13"/>
    </row>
    <row r="2711" spans="4:8" ht="12.75">
      <c r="D2711" s="3"/>
      <c r="H2711" s="13"/>
    </row>
    <row r="2712" spans="4:8" ht="12.75">
      <c r="D2712" s="3"/>
      <c r="H2712" s="13"/>
    </row>
    <row r="2713" spans="4:8" ht="12.75">
      <c r="D2713" s="3"/>
      <c r="H2713" s="13"/>
    </row>
    <row r="2714" spans="4:8" ht="12.75">
      <c r="D2714" s="3"/>
      <c r="H2714" s="13"/>
    </row>
    <row r="2715" spans="4:8" ht="12.75">
      <c r="D2715" s="3"/>
      <c r="H2715" s="13"/>
    </row>
    <row r="2716" spans="4:8" ht="12.75">
      <c r="D2716" s="3"/>
      <c r="H2716" s="13"/>
    </row>
    <row r="2717" spans="4:8" ht="12.75">
      <c r="D2717" s="3"/>
      <c r="H2717" s="13"/>
    </row>
    <row r="2718" spans="4:8" ht="12.75">
      <c r="D2718" s="3"/>
      <c r="H2718" s="13"/>
    </row>
    <row r="2719" spans="4:8" ht="12.75">
      <c r="D2719" s="3"/>
      <c r="H2719" s="13"/>
    </row>
    <row r="2720" spans="4:8" ht="12.75">
      <c r="D2720" s="3"/>
      <c r="H2720" s="13"/>
    </row>
    <row r="2721" spans="4:8" ht="12.75">
      <c r="D2721" s="3"/>
      <c r="H2721" s="13"/>
    </row>
    <row r="2722" spans="4:8" ht="12.75">
      <c r="D2722" s="3"/>
      <c r="H2722" s="13"/>
    </row>
    <row r="2723" spans="4:8" ht="12.75">
      <c r="D2723" s="3"/>
      <c r="H2723" s="13"/>
    </row>
    <row r="2724" spans="4:8" ht="12.75">
      <c r="D2724" s="3"/>
      <c r="H2724" s="13"/>
    </row>
    <row r="2725" spans="4:8" ht="12.75">
      <c r="D2725" s="3"/>
      <c r="H2725" s="13"/>
    </row>
    <row r="2726" spans="4:8" ht="12.75">
      <c r="D2726" s="3"/>
      <c r="H2726" s="13"/>
    </row>
    <row r="2727" spans="4:8" ht="12.75">
      <c r="D2727" s="3"/>
      <c r="H2727" s="13"/>
    </row>
    <row r="2728" spans="4:8" ht="12.75">
      <c r="D2728" s="3"/>
      <c r="H2728" s="13"/>
    </row>
    <row r="2729" spans="4:8" ht="12.75">
      <c r="D2729" s="3"/>
      <c r="H2729" s="13"/>
    </row>
    <row r="2730" spans="4:8" ht="12.75">
      <c r="D2730" s="3"/>
      <c r="H2730" s="13"/>
    </row>
    <row r="2731" spans="4:8" ht="12.75">
      <c r="D2731" s="3"/>
      <c r="H2731" s="13"/>
    </row>
    <row r="2732" spans="4:8" ht="12.75">
      <c r="D2732" s="3"/>
      <c r="H2732" s="13"/>
    </row>
    <row r="2733" spans="4:8" ht="12.75">
      <c r="D2733" s="3"/>
      <c r="H2733" s="13"/>
    </row>
    <row r="2734" spans="4:8" ht="12.75">
      <c r="D2734" s="3"/>
      <c r="H2734" s="13"/>
    </row>
    <row r="2735" spans="4:8" ht="12.75">
      <c r="D2735" s="3"/>
      <c r="H2735" s="13"/>
    </row>
    <row r="2736" spans="4:8" ht="12.75">
      <c r="D2736" s="3"/>
      <c r="H2736" s="13"/>
    </row>
    <row r="2737" spans="4:8" ht="12.75">
      <c r="D2737" s="3"/>
      <c r="H2737" s="13"/>
    </row>
    <row r="2738" spans="4:8" ht="12.75">
      <c r="D2738" s="3"/>
      <c r="H2738" s="13"/>
    </row>
    <row r="2739" spans="4:8" ht="12.75">
      <c r="D2739" s="3"/>
      <c r="H2739" s="13"/>
    </row>
    <row r="2740" spans="4:8" ht="12.75">
      <c r="D2740" s="3"/>
      <c r="H2740" s="13"/>
    </row>
    <row r="2741" spans="4:8" ht="12.75">
      <c r="D2741" s="3"/>
      <c r="H2741" s="13"/>
    </row>
    <row r="2742" spans="4:8" ht="12.75">
      <c r="D2742" s="3"/>
      <c r="H2742" s="13"/>
    </row>
    <row r="2743" spans="4:8" ht="12.75">
      <c r="D2743" s="3"/>
      <c r="H2743" s="13"/>
    </row>
    <row r="2744" spans="4:8" ht="12.75">
      <c r="D2744" s="3"/>
      <c r="H2744" s="13"/>
    </row>
    <row r="2745" spans="4:8" ht="12.75">
      <c r="D2745" s="3"/>
      <c r="H2745" s="13"/>
    </row>
    <row r="2746" spans="4:8" ht="12.75">
      <c r="D2746" s="3"/>
      <c r="H2746" s="13"/>
    </row>
    <row r="2747" spans="4:8" ht="12.75">
      <c r="D2747" s="3"/>
      <c r="H2747" s="13"/>
    </row>
    <row r="2748" spans="4:8" ht="12.75">
      <c r="D2748" s="3"/>
      <c r="H2748" s="13"/>
    </row>
    <row r="2749" spans="4:8" ht="12.75">
      <c r="D2749" s="3"/>
      <c r="H2749" s="13"/>
    </row>
    <row r="2750" spans="4:8" ht="12.75">
      <c r="D2750" s="3"/>
      <c r="H2750" s="13"/>
    </row>
    <row r="2751" spans="4:8" ht="12.75">
      <c r="D2751" s="3"/>
      <c r="H2751" s="13"/>
    </row>
    <row r="2752" spans="4:8" ht="12.75">
      <c r="D2752" s="3"/>
      <c r="H2752" s="13"/>
    </row>
    <row r="2753" spans="4:8" ht="12.75">
      <c r="D2753" s="3"/>
      <c r="H2753" s="13"/>
    </row>
    <row r="2754" spans="4:8" ht="12.75">
      <c r="D2754" s="3"/>
      <c r="H2754" s="13"/>
    </row>
    <row r="2755" spans="4:8" ht="12.75">
      <c r="D2755" s="3"/>
      <c r="H2755" s="13"/>
    </row>
    <row r="2756" spans="4:8" ht="12.75">
      <c r="D2756" s="3"/>
      <c r="H2756" s="13"/>
    </row>
    <row r="2757" spans="4:8" ht="12.75">
      <c r="D2757" s="3"/>
      <c r="H2757" s="13"/>
    </row>
    <row r="2758" spans="4:8" ht="12.75">
      <c r="D2758" s="3"/>
      <c r="H2758" s="13"/>
    </row>
    <row r="2759" spans="4:8" ht="12.75">
      <c r="D2759" s="3"/>
      <c r="H2759" s="13"/>
    </row>
    <row r="2760" spans="4:8" ht="12.75">
      <c r="D2760" s="3"/>
      <c r="H2760" s="13"/>
    </row>
    <row r="2761" spans="4:8" ht="12.75">
      <c r="D2761" s="3"/>
      <c r="H2761" s="13"/>
    </row>
    <row r="2762" spans="4:8" ht="12.75">
      <c r="D2762" s="3"/>
      <c r="H2762" s="13"/>
    </row>
    <row r="2763" spans="4:8" ht="12.75">
      <c r="D2763" s="3"/>
      <c r="H2763" s="13"/>
    </row>
    <row r="2764" spans="4:8" ht="12.75">
      <c r="D2764" s="3"/>
      <c r="H2764" s="13"/>
    </row>
    <row r="2765" spans="4:8" ht="12.75">
      <c r="D2765" s="3"/>
      <c r="H2765" s="13"/>
    </row>
    <row r="2766" spans="4:8" ht="12.75">
      <c r="D2766" s="3"/>
      <c r="H2766" s="13"/>
    </row>
    <row r="2767" spans="4:8" ht="12.75">
      <c r="D2767" s="3"/>
      <c r="H2767" s="13"/>
    </row>
    <row r="2768" spans="4:8" ht="12.75">
      <c r="D2768" s="3"/>
      <c r="H2768" s="13"/>
    </row>
    <row r="2769" spans="4:8" ht="12.75">
      <c r="D2769" s="3"/>
      <c r="H2769" s="13"/>
    </row>
    <row r="2770" spans="4:8" ht="12.75">
      <c r="D2770" s="3"/>
      <c r="H2770" s="13"/>
    </row>
    <row r="2771" spans="4:8" ht="12.75">
      <c r="D2771" s="3"/>
      <c r="H2771" s="13"/>
    </row>
    <row r="2772" spans="4:8" ht="12.75">
      <c r="D2772" s="3"/>
      <c r="H2772" s="13"/>
    </row>
    <row r="2773" spans="4:8" ht="12.75">
      <c r="D2773" s="3"/>
      <c r="H2773" s="13"/>
    </row>
    <row r="2774" spans="4:8" ht="12.75">
      <c r="D2774" s="3"/>
      <c r="H2774" s="13"/>
    </row>
    <row r="2775" spans="4:8" ht="12.75">
      <c r="D2775" s="3"/>
      <c r="H2775" s="13"/>
    </row>
    <row r="2776" spans="4:8" ht="12.75">
      <c r="D2776" s="3"/>
      <c r="H2776" s="13"/>
    </row>
    <row r="2777" spans="4:8" ht="12.75">
      <c r="D2777" s="3"/>
      <c r="H2777" s="13"/>
    </row>
    <row r="2778" spans="4:8" ht="12.75">
      <c r="D2778" s="3"/>
      <c r="H2778" s="13"/>
    </row>
    <row r="2779" spans="4:8" ht="12.75">
      <c r="D2779" s="3"/>
      <c r="H2779" s="13"/>
    </row>
    <row r="2780" spans="4:8" ht="12.75">
      <c r="D2780" s="3"/>
      <c r="H2780" s="13"/>
    </row>
    <row r="2781" spans="4:8" ht="12.75">
      <c r="D2781" s="3"/>
      <c r="H2781" s="13"/>
    </row>
    <row r="2782" spans="4:8" ht="12.75">
      <c r="D2782" s="3"/>
      <c r="H2782" s="13"/>
    </row>
    <row r="2783" spans="4:8" ht="12.75">
      <c r="D2783" s="3"/>
      <c r="H2783" s="13"/>
    </row>
    <row r="2784" spans="4:8" ht="12.75">
      <c r="D2784" s="3"/>
      <c r="H2784" s="13"/>
    </row>
    <row r="2785" spans="4:8" ht="12.75">
      <c r="D2785" s="3"/>
      <c r="H2785" s="13"/>
    </row>
    <row r="2786" spans="4:8" ht="12.75">
      <c r="D2786" s="3"/>
      <c r="H2786" s="13"/>
    </row>
    <row r="2787" spans="4:8" ht="12.75">
      <c r="D2787" s="3"/>
      <c r="H2787" s="13"/>
    </row>
    <row r="2788" spans="4:8" ht="12.75">
      <c r="D2788" s="3"/>
      <c r="H2788" s="13"/>
    </row>
    <row r="2789" spans="4:8" ht="12.75">
      <c r="D2789" s="3"/>
      <c r="H2789" s="13"/>
    </row>
    <row r="2790" spans="4:8" ht="12.75">
      <c r="D2790" s="3"/>
      <c r="H2790" s="13"/>
    </row>
    <row r="2791" ht="12.75">
      <c r="D2791" s="3"/>
    </row>
    <row r="2792" ht="12.75">
      <c r="D2792" s="3"/>
    </row>
    <row r="2793" ht="12.75">
      <c r="D2793" s="3"/>
    </row>
    <row r="2794" ht="12.75">
      <c r="D2794" s="3"/>
    </row>
    <row r="2795" ht="12.75">
      <c r="D2795" s="3"/>
    </row>
    <row r="2796" ht="12.75">
      <c r="D2796" s="3"/>
    </row>
    <row r="2797" ht="12.75">
      <c r="D2797" s="3"/>
    </row>
    <row r="2798" ht="12.75">
      <c r="D2798" s="3"/>
    </row>
    <row r="2799" ht="12.75">
      <c r="D2799" s="3"/>
    </row>
    <row r="2800" ht="12.75">
      <c r="D2800" s="3"/>
    </row>
    <row r="2801" ht="12.75">
      <c r="D2801" s="3"/>
    </row>
    <row r="2802" ht="12.75">
      <c r="D2802" s="3"/>
    </row>
    <row r="2803" ht="12.75">
      <c r="D2803" s="3"/>
    </row>
    <row r="2804" ht="12.75">
      <c r="D2804" s="3"/>
    </row>
    <row r="2805" ht="12.75">
      <c r="D2805" s="3"/>
    </row>
    <row r="2806" ht="12.75">
      <c r="D2806" s="3"/>
    </row>
    <row r="2807" ht="12.75">
      <c r="D2807" s="3"/>
    </row>
    <row r="2808" ht="12.75">
      <c r="D2808" s="3"/>
    </row>
    <row r="2809" ht="12.75">
      <c r="D2809" s="3"/>
    </row>
    <row r="2810" ht="12.75">
      <c r="D2810" s="3"/>
    </row>
    <row r="2811" ht="12.75">
      <c r="D2811" s="3"/>
    </row>
    <row r="2812" ht="12.75">
      <c r="D2812" s="3"/>
    </row>
    <row r="2813" ht="12.75">
      <c r="D2813" s="3"/>
    </row>
    <row r="2814" ht="12.75">
      <c r="D2814" s="3"/>
    </row>
    <row r="2815" ht="12.75">
      <c r="D2815" s="3"/>
    </row>
    <row r="2816" ht="12.75">
      <c r="D2816" s="3"/>
    </row>
    <row r="2817" ht="12.75">
      <c r="D2817" s="3"/>
    </row>
    <row r="2818" ht="12.75">
      <c r="D2818" s="3"/>
    </row>
    <row r="2819" ht="12.75">
      <c r="D2819" s="3"/>
    </row>
    <row r="2820" ht="12.75">
      <c r="D2820" s="3"/>
    </row>
    <row r="2821" ht="12.75">
      <c r="D2821" s="3"/>
    </row>
    <row r="2822" ht="12.75">
      <c r="D2822" s="3"/>
    </row>
    <row r="2823" ht="12.75">
      <c r="D2823" s="3"/>
    </row>
    <row r="2824" ht="12.75">
      <c r="D2824" s="3"/>
    </row>
    <row r="2825" ht="12.75">
      <c r="D2825" s="3"/>
    </row>
    <row r="2826" ht="12.75">
      <c r="D2826" s="3"/>
    </row>
    <row r="2827" ht="12.75">
      <c r="D2827" s="3"/>
    </row>
    <row r="2828" ht="12.75">
      <c r="D2828" s="3"/>
    </row>
    <row r="2829" ht="12.75">
      <c r="D2829" s="3"/>
    </row>
    <row r="2830" ht="12.75">
      <c r="D2830" s="3"/>
    </row>
    <row r="2831" ht="12.75">
      <c r="D2831" s="3"/>
    </row>
    <row r="2832" ht="12.75">
      <c r="D2832" s="3"/>
    </row>
    <row r="2833" ht="12.75">
      <c r="D2833" s="3"/>
    </row>
    <row r="2834" ht="12.75">
      <c r="D2834" s="3"/>
    </row>
    <row r="2835" ht="12.75">
      <c r="D2835" s="3"/>
    </row>
    <row r="2836" ht="12.75">
      <c r="D2836" s="3"/>
    </row>
    <row r="2837" ht="12.75">
      <c r="D2837" s="3"/>
    </row>
    <row r="2838" ht="12.75">
      <c r="D2838" s="3"/>
    </row>
    <row r="2839" ht="12.75">
      <c r="D2839" s="3"/>
    </row>
    <row r="2840" ht="12.75">
      <c r="D2840" s="3"/>
    </row>
    <row r="2841" ht="12.75">
      <c r="D2841" s="3"/>
    </row>
    <row r="2842" ht="12.75">
      <c r="D2842" s="3"/>
    </row>
    <row r="2843" ht="12.75">
      <c r="D2843" s="3"/>
    </row>
    <row r="2844" ht="12.75">
      <c r="D2844" s="3"/>
    </row>
    <row r="2845" ht="12.75">
      <c r="D2845" s="3"/>
    </row>
    <row r="2846" ht="12.75">
      <c r="D2846" s="3"/>
    </row>
    <row r="2847" ht="12.75">
      <c r="D2847" s="3"/>
    </row>
    <row r="2848" ht="12.75">
      <c r="D2848" s="3"/>
    </row>
    <row r="2849" ht="12.75">
      <c r="D2849" s="3"/>
    </row>
    <row r="2850" ht="12.75">
      <c r="D2850" s="3"/>
    </row>
    <row r="2851" ht="12.75">
      <c r="D2851" s="3"/>
    </row>
    <row r="2852" ht="12.75">
      <c r="D2852" s="3"/>
    </row>
    <row r="2853" ht="12.75">
      <c r="D2853" s="3"/>
    </row>
    <row r="2854" ht="12.75">
      <c r="D2854" s="3"/>
    </row>
    <row r="2855" ht="12.75">
      <c r="D2855" s="3"/>
    </row>
    <row r="2856" ht="12.75">
      <c r="D2856" s="3"/>
    </row>
    <row r="2857" ht="12.75">
      <c r="D2857" s="3"/>
    </row>
    <row r="2858" ht="12.75">
      <c r="D2858" s="3"/>
    </row>
    <row r="2859" ht="12.75">
      <c r="D2859" s="3"/>
    </row>
    <row r="2860" ht="12.75">
      <c r="D2860" s="3"/>
    </row>
    <row r="2861" ht="12.75">
      <c r="D2861" s="3"/>
    </row>
    <row r="2862" ht="12.75">
      <c r="D2862" s="3"/>
    </row>
    <row r="2863" ht="12.75">
      <c r="D2863" s="3"/>
    </row>
    <row r="2864" ht="12.75">
      <c r="D2864" s="3"/>
    </row>
    <row r="2865" ht="12.75">
      <c r="D2865" s="3"/>
    </row>
    <row r="2866" ht="12.75">
      <c r="D2866" s="3"/>
    </row>
    <row r="2867" ht="12.75">
      <c r="D2867" s="3"/>
    </row>
    <row r="2868" ht="12.75">
      <c r="D2868" s="3"/>
    </row>
    <row r="2869" ht="12.75">
      <c r="D2869" s="3"/>
    </row>
    <row r="2870" ht="12.75">
      <c r="D2870" s="3"/>
    </row>
    <row r="2871" ht="12.75">
      <c r="D2871" s="3"/>
    </row>
    <row r="2872" ht="12.75">
      <c r="D2872" s="3"/>
    </row>
    <row r="2873" ht="12.75">
      <c r="D2873" s="3"/>
    </row>
    <row r="2874" ht="12.75">
      <c r="D2874" s="3"/>
    </row>
    <row r="2875" ht="12.75">
      <c r="D2875" s="3"/>
    </row>
    <row r="2876" ht="12.75">
      <c r="D2876" s="3"/>
    </row>
    <row r="2877" ht="12.75">
      <c r="D2877" s="3"/>
    </row>
    <row r="2878" ht="12.75">
      <c r="D2878" s="3"/>
    </row>
    <row r="2879" ht="12.75">
      <c r="D2879" s="3"/>
    </row>
    <row r="2880" ht="12.75">
      <c r="D2880" s="3"/>
    </row>
    <row r="2881" ht="12.75">
      <c r="D2881" s="3"/>
    </row>
    <row r="2882" ht="12.75">
      <c r="D2882" s="3"/>
    </row>
    <row r="2883" ht="12.75">
      <c r="D2883" s="3"/>
    </row>
    <row r="2884" ht="12.75">
      <c r="D2884" s="3"/>
    </row>
    <row r="2885" ht="12.75">
      <c r="D2885" s="3"/>
    </row>
    <row r="2886" ht="12.75">
      <c r="D2886" s="3"/>
    </row>
    <row r="2887" ht="12.75">
      <c r="D2887" s="3"/>
    </row>
    <row r="2888" ht="12.75">
      <c r="D2888" s="3"/>
    </row>
    <row r="2889" ht="12.75">
      <c r="D2889" s="3"/>
    </row>
    <row r="2890" ht="12.75">
      <c r="D2890" s="3"/>
    </row>
    <row r="2891" ht="12.75">
      <c r="D2891" s="3"/>
    </row>
    <row r="2892" ht="12.75">
      <c r="D2892" s="3"/>
    </row>
    <row r="2893" ht="12.75">
      <c r="D2893" s="3"/>
    </row>
    <row r="2894" ht="12.75">
      <c r="D2894" s="3"/>
    </row>
    <row r="2895" ht="12.75">
      <c r="D2895" s="3"/>
    </row>
    <row r="2896" ht="12.75">
      <c r="D2896" s="3"/>
    </row>
    <row r="2897" ht="12.75">
      <c r="D2897" s="3"/>
    </row>
    <row r="2898" ht="12.75">
      <c r="D2898" s="3"/>
    </row>
    <row r="2899" ht="12.75">
      <c r="D2899" s="3"/>
    </row>
    <row r="2900" ht="12.75">
      <c r="D2900" s="3"/>
    </row>
    <row r="2901" ht="12.75">
      <c r="D2901" s="3"/>
    </row>
    <row r="2902" ht="12.75">
      <c r="D2902" s="3"/>
    </row>
    <row r="2903" ht="12.75">
      <c r="D2903" s="3"/>
    </row>
    <row r="2904" ht="12.75">
      <c r="D2904" s="3"/>
    </row>
    <row r="2905" ht="12.75">
      <c r="D2905" s="3"/>
    </row>
    <row r="2906" ht="12.75">
      <c r="D2906" s="3"/>
    </row>
    <row r="2907" ht="12.75">
      <c r="D2907" s="3"/>
    </row>
    <row r="2908" ht="12.75">
      <c r="D2908" s="3"/>
    </row>
    <row r="2909" ht="12.75">
      <c r="D2909" s="3"/>
    </row>
    <row r="2910" ht="12.75">
      <c r="D2910" s="3"/>
    </row>
    <row r="2911" ht="12.75">
      <c r="D2911" s="3"/>
    </row>
    <row r="2912" ht="12.75">
      <c r="D2912" s="3"/>
    </row>
    <row r="2913" ht="12.75">
      <c r="D2913" s="3"/>
    </row>
    <row r="2914" ht="12.75">
      <c r="D2914" s="3"/>
    </row>
    <row r="2915" ht="12.75">
      <c r="D2915" s="3"/>
    </row>
    <row r="2916" ht="12.75">
      <c r="D2916" s="3"/>
    </row>
    <row r="2917" ht="12.75">
      <c r="D2917" s="3"/>
    </row>
    <row r="2918" ht="12.75">
      <c r="D2918" s="3"/>
    </row>
    <row r="2919" ht="12.75">
      <c r="D2919" s="3"/>
    </row>
    <row r="2920" ht="12.75">
      <c r="D2920" s="3"/>
    </row>
    <row r="2921" ht="12.75">
      <c r="D2921" s="3"/>
    </row>
    <row r="2922" ht="12.75">
      <c r="D2922" s="3"/>
    </row>
    <row r="2923" ht="12.75">
      <c r="D2923" s="3"/>
    </row>
    <row r="2924" ht="12.75">
      <c r="D2924" s="3"/>
    </row>
    <row r="2925" ht="12.75">
      <c r="D2925" s="3"/>
    </row>
    <row r="2926" ht="12.75">
      <c r="D2926" s="3"/>
    </row>
    <row r="2927" ht="12.75">
      <c r="D2927" s="3"/>
    </row>
    <row r="2928" ht="12.75">
      <c r="D2928" s="3"/>
    </row>
    <row r="2929" ht="12.75">
      <c r="D2929" s="3"/>
    </row>
    <row r="2930" ht="12.75">
      <c r="D2930" s="3"/>
    </row>
    <row r="2931" ht="12.75">
      <c r="D2931" s="3"/>
    </row>
    <row r="2932" ht="12.75">
      <c r="D2932" s="3"/>
    </row>
    <row r="2933" ht="12.75">
      <c r="D2933" s="3"/>
    </row>
    <row r="2934" ht="12.75">
      <c r="D2934" s="3"/>
    </row>
    <row r="2935" ht="12.75">
      <c r="D2935" s="3"/>
    </row>
    <row r="2936" ht="12.75">
      <c r="D2936" s="3"/>
    </row>
    <row r="2937" ht="12.75">
      <c r="D2937" s="3"/>
    </row>
    <row r="2938" ht="12.75">
      <c r="D2938" s="3"/>
    </row>
    <row r="2939" ht="12.75">
      <c r="D2939" s="3"/>
    </row>
    <row r="2940" ht="12.75">
      <c r="D2940" s="3"/>
    </row>
    <row r="2941" ht="12.75">
      <c r="D2941" s="3"/>
    </row>
    <row r="2942" ht="12.75">
      <c r="D2942" s="3"/>
    </row>
    <row r="2943" ht="12.75">
      <c r="D2943" s="3"/>
    </row>
    <row r="2944" ht="12.75">
      <c r="D2944" s="3"/>
    </row>
    <row r="2945" ht="12.75">
      <c r="D2945" s="3"/>
    </row>
    <row r="2946" ht="12.75">
      <c r="D2946" s="3"/>
    </row>
    <row r="2947" ht="12.75">
      <c r="D2947" s="3"/>
    </row>
    <row r="2948" ht="12.75">
      <c r="D2948" s="3"/>
    </row>
    <row r="2949" ht="12.75">
      <c r="D2949" s="3"/>
    </row>
    <row r="2950" ht="12.75">
      <c r="D2950" s="3"/>
    </row>
    <row r="2951" ht="12.75">
      <c r="D2951" s="3"/>
    </row>
    <row r="2952" ht="12.75">
      <c r="D2952" s="3"/>
    </row>
    <row r="2953" ht="12.75">
      <c r="D2953" s="3"/>
    </row>
    <row r="2954" ht="12.75">
      <c r="D2954" s="3"/>
    </row>
    <row r="2955" ht="12.75">
      <c r="D2955" s="3"/>
    </row>
    <row r="2956" ht="12.75">
      <c r="D2956" s="3"/>
    </row>
    <row r="2957" ht="12.75">
      <c r="D2957" s="3"/>
    </row>
    <row r="2958" ht="12.75">
      <c r="D2958" s="3"/>
    </row>
    <row r="2959" ht="12.75">
      <c r="D2959" s="3"/>
    </row>
    <row r="2960" ht="12.75">
      <c r="D2960" s="3"/>
    </row>
    <row r="2961" ht="12.75">
      <c r="D2961" s="3"/>
    </row>
    <row r="2962" ht="12.75">
      <c r="D2962" s="3"/>
    </row>
    <row r="2963" ht="12.75">
      <c r="D2963" s="3"/>
    </row>
    <row r="2964" ht="12.75">
      <c r="D2964" s="3"/>
    </row>
    <row r="2965" ht="12.75">
      <c r="D2965" s="3"/>
    </row>
    <row r="2966" ht="12.75">
      <c r="D2966" s="3"/>
    </row>
    <row r="2967" ht="12.75">
      <c r="D2967" s="3"/>
    </row>
    <row r="2968" ht="12.75">
      <c r="D2968" s="3"/>
    </row>
    <row r="2969" ht="12.75">
      <c r="D2969" s="3"/>
    </row>
    <row r="2970" ht="12.75">
      <c r="D2970" s="3"/>
    </row>
    <row r="2971" ht="12.75">
      <c r="D2971" s="3"/>
    </row>
    <row r="2972" ht="12.75">
      <c r="D2972" s="3"/>
    </row>
    <row r="2973" ht="12.75">
      <c r="D2973" s="3"/>
    </row>
    <row r="2974" ht="12.75">
      <c r="D2974" s="3"/>
    </row>
    <row r="2975" ht="12.75">
      <c r="D2975" s="3"/>
    </row>
    <row r="2976" ht="12.75">
      <c r="D2976" s="3"/>
    </row>
    <row r="2977" ht="12.75">
      <c r="D2977" s="3"/>
    </row>
    <row r="2978" ht="12.75">
      <c r="D2978" s="3"/>
    </row>
    <row r="2979" ht="12.75">
      <c r="D2979" s="3"/>
    </row>
    <row r="2980" ht="12.75">
      <c r="D2980" s="3"/>
    </row>
    <row r="2981" ht="12.75">
      <c r="D2981" s="3"/>
    </row>
    <row r="2982" ht="12.75">
      <c r="D2982" s="3"/>
    </row>
    <row r="2983" ht="12.75">
      <c r="D2983" s="3"/>
    </row>
    <row r="2984" ht="12.75">
      <c r="D2984" s="3"/>
    </row>
    <row r="2985" ht="12.75">
      <c r="D2985" s="3"/>
    </row>
    <row r="2986" ht="12.75">
      <c r="D2986" s="3"/>
    </row>
    <row r="2987" ht="12.75">
      <c r="D2987" s="3"/>
    </row>
    <row r="2988" ht="12.75">
      <c r="D2988" s="3"/>
    </row>
    <row r="2989" ht="12.75">
      <c r="D2989" s="3"/>
    </row>
    <row r="2990" ht="12.75">
      <c r="D2990" s="3"/>
    </row>
    <row r="2991" ht="12.75">
      <c r="D2991" s="3"/>
    </row>
    <row r="2992" ht="12.75">
      <c r="D2992" s="3"/>
    </row>
    <row r="2993" ht="12.75">
      <c r="D2993" s="3"/>
    </row>
    <row r="2994" ht="12.75">
      <c r="D2994" s="3"/>
    </row>
    <row r="2995" ht="12.75">
      <c r="D2995" s="3"/>
    </row>
    <row r="2996" ht="12.75">
      <c r="D2996" s="3"/>
    </row>
    <row r="2997" ht="12.75">
      <c r="D2997" s="3"/>
    </row>
    <row r="2998" ht="12.75">
      <c r="D2998" s="3"/>
    </row>
    <row r="2999" ht="12.75">
      <c r="D2999" s="3"/>
    </row>
    <row r="3000" ht="12.75">
      <c r="D3000" s="3"/>
    </row>
    <row r="3001" ht="12.75">
      <c r="D3001" s="3"/>
    </row>
    <row r="3002" ht="12.75">
      <c r="D3002" s="3"/>
    </row>
    <row r="3003" ht="12.75">
      <c r="D3003" s="3"/>
    </row>
    <row r="3004" ht="12.75">
      <c r="D3004" s="3"/>
    </row>
    <row r="3005" ht="12.75">
      <c r="D3005" s="3"/>
    </row>
    <row r="3006" ht="12.75">
      <c r="D3006" s="3"/>
    </row>
    <row r="3007" ht="12.75">
      <c r="D3007" s="3"/>
    </row>
    <row r="3008" ht="12.75">
      <c r="D3008" s="3"/>
    </row>
    <row r="3009" ht="12.75">
      <c r="D3009" s="3"/>
    </row>
    <row r="3010" ht="12.75">
      <c r="D3010" s="3"/>
    </row>
    <row r="3011" ht="12.75">
      <c r="D3011" s="3"/>
    </row>
    <row r="3012" ht="12.75">
      <c r="D3012" s="3"/>
    </row>
    <row r="3013" ht="12.75">
      <c r="D3013" s="3"/>
    </row>
    <row r="3014" ht="12.75">
      <c r="D3014" s="3"/>
    </row>
    <row r="3015" ht="12.75">
      <c r="D3015" s="3"/>
    </row>
    <row r="3016" ht="12.75">
      <c r="D3016" s="3"/>
    </row>
    <row r="3017" ht="12.75">
      <c r="D3017" s="3"/>
    </row>
    <row r="3018" ht="12.75">
      <c r="D3018" s="3"/>
    </row>
    <row r="3019" ht="12.75">
      <c r="D3019" s="3"/>
    </row>
    <row r="3020" ht="12.75">
      <c r="D3020" s="3"/>
    </row>
    <row r="3021" ht="12.75">
      <c r="D3021" s="3"/>
    </row>
    <row r="3022" ht="12.75">
      <c r="D3022" s="3"/>
    </row>
    <row r="3023" ht="12.75">
      <c r="D3023" s="3"/>
    </row>
    <row r="3024" ht="12.75">
      <c r="D3024" s="3"/>
    </row>
    <row r="3025" ht="12.75">
      <c r="D3025" s="3"/>
    </row>
    <row r="3026" ht="12.75">
      <c r="D3026" s="3"/>
    </row>
    <row r="3027" ht="12.75">
      <c r="D3027" s="3"/>
    </row>
    <row r="3028" ht="12.75">
      <c r="D3028" s="3"/>
    </row>
    <row r="3029" ht="12.75">
      <c r="D3029" s="3"/>
    </row>
    <row r="3030" ht="12.75">
      <c r="D3030" s="3"/>
    </row>
    <row r="3031" ht="12.75">
      <c r="D3031" s="3"/>
    </row>
    <row r="3032" ht="12.75">
      <c r="D3032" s="3"/>
    </row>
    <row r="3033" ht="12.75">
      <c r="D3033" s="3"/>
    </row>
    <row r="3034" ht="12.75">
      <c r="D3034" s="3"/>
    </row>
    <row r="3035" ht="12.75">
      <c r="D3035" s="3"/>
    </row>
    <row r="3036" ht="12.75">
      <c r="D3036" s="3"/>
    </row>
    <row r="3037" ht="12.75">
      <c r="D3037" s="3"/>
    </row>
    <row r="3038" ht="12.75">
      <c r="D3038" s="3"/>
    </row>
    <row r="3039" ht="12.75">
      <c r="D3039" s="3"/>
    </row>
    <row r="3040" ht="12.75">
      <c r="D3040" s="3"/>
    </row>
    <row r="3041" ht="12.75">
      <c r="D3041" s="3"/>
    </row>
    <row r="3042" ht="12.75">
      <c r="D3042" s="3"/>
    </row>
    <row r="3043" ht="12.75">
      <c r="D3043" s="3"/>
    </row>
    <row r="3044" ht="12.75">
      <c r="D3044" s="3"/>
    </row>
    <row r="3045" ht="12.75">
      <c r="D3045" s="3"/>
    </row>
    <row r="3046" ht="12.75">
      <c r="D3046" s="3"/>
    </row>
    <row r="3047" ht="12.75">
      <c r="D3047" s="3"/>
    </row>
    <row r="3048" ht="12.75">
      <c r="D3048" s="3"/>
    </row>
    <row r="3049" ht="12.75">
      <c r="D3049" s="3"/>
    </row>
    <row r="3050" ht="12.75">
      <c r="D3050" s="3"/>
    </row>
    <row r="3051" ht="12.75">
      <c r="D3051" s="3"/>
    </row>
    <row r="3052" ht="12.75">
      <c r="D3052" s="3"/>
    </row>
    <row r="3053" ht="12.75">
      <c r="D3053" s="3"/>
    </row>
    <row r="3054" ht="12.75">
      <c r="D3054" s="3"/>
    </row>
    <row r="3055" ht="12.75">
      <c r="D3055" s="3"/>
    </row>
    <row r="3056" ht="12.75">
      <c r="D3056" s="3"/>
    </row>
    <row r="3057" ht="12.75">
      <c r="D3057" s="3"/>
    </row>
    <row r="3058" ht="12.75">
      <c r="D3058" s="3"/>
    </row>
    <row r="3059" ht="12.75">
      <c r="D3059" s="3"/>
    </row>
    <row r="3060" ht="12.75">
      <c r="D3060" s="3"/>
    </row>
    <row r="3061" ht="12.75">
      <c r="D3061" s="3"/>
    </row>
    <row r="3062" ht="12.75">
      <c r="D3062" s="3"/>
    </row>
    <row r="3063" ht="12.75">
      <c r="D3063" s="3"/>
    </row>
    <row r="3064" ht="12.75">
      <c r="D3064" s="3"/>
    </row>
    <row r="3065" ht="12.75">
      <c r="D3065" s="3"/>
    </row>
    <row r="3066" ht="12.75">
      <c r="D3066" s="3"/>
    </row>
    <row r="3067" ht="12.75">
      <c r="D3067" s="3"/>
    </row>
    <row r="3068" ht="12.75">
      <c r="D3068" s="3"/>
    </row>
    <row r="3069" ht="12.75">
      <c r="D3069" s="3"/>
    </row>
    <row r="3070" ht="12.75">
      <c r="D3070" s="3"/>
    </row>
    <row r="3071" ht="12.75">
      <c r="D3071" s="3"/>
    </row>
    <row r="3072" ht="12.75">
      <c r="D3072" s="3"/>
    </row>
    <row r="3073" ht="12.75">
      <c r="D3073" s="3"/>
    </row>
    <row r="3074" ht="12.75">
      <c r="D3074" s="3"/>
    </row>
    <row r="3075" ht="12.75">
      <c r="D3075" s="3"/>
    </row>
    <row r="3076" ht="12.75">
      <c r="D3076" s="3"/>
    </row>
    <row r="3077" ht="12.75">
      <c r="D3077" s="3"/>
    </row>
    <row r="3078" ht="12.75">
      <c r="D3078" s="3"/>
    </row>
    <row r="3079" ht="12.75">
      <c r="D3079" s="3"/>
    </row>
    <row r="3080" ht="12.75">
      <c r="D3080" s="3"/>
    </row>
    <row r="3081" ht="12.75">
      <c r="D3081" s="3"/>
    </row>
    <row r="3082" ht="12.75">
      <c r="D3082" s="3"/>
    </row>
    <row r="3083" ht="12.75">
      <c r="D3083" s="3"/>
    </row>
    <row r="3084" ht="12.75">
      <c r="D3084" s="3"/>
    </row>
    <row r="3085" ht="12.75">
      <c r="D3085" s="3"/>
    </row>
    <row r="3086" ht="12.75">
      <c r="D3086" s="3"/>
    </row>
    <row r="3087" ht="12.75">
      <c r="D3087" s="3"/>
    </row>
    <row r="3088" ht="12.75">
      <c r="D3088" s="3"/>
    </row>
    <row r="3089" ht="12.75">
      <c r="D3089" s="3"/>
    </row>
    <row r="3090" ht="12.75">
      <c r="D3090" s="3"/>
    </row>
    <row r="3091" ht="12.75">
      <c r="D3091" s="3"/>
    </row>
    <row r="3092" ht="12.75">
      <c r="D3092" s="3"/>
    </row>
    <row r="3093" ht="12.75">
      <c r="D3093" s="3"/>
    </row>
    <row r="3094" ht="12.75">
      <c r="D3094" s="3"/>
    </row>
    <row r="3095" ht="12.75">
      <c r="D3095" s="3"/>
    </row>
    <row r="3096" ht="12.75">
      <c r="D3096" s="3"/>
    </row>
    <row r="3097" ht="12.75">
      <c r="D3097" s="3"/>
    </row>
    <row r="3098" ht="12.75">
      <c r="D3098" s="3"/>
    </row>
    <row r="3099" ht="12.75">
      <c r="D3099" s="3"/>
    </row>
    <row r="3100" ht="12.75">
      <c r="D3100" s="3"/>
    </row>
    <row r="3101" ht="12.75">
      <c r="D3101" s="3"/>
    </row>
    <row r="3102" ht="12.75">
      <c r="D3102" s="3"/>
    </row>
    <row r="3103" ht="12.75">
      <c r="D3103" s="3"/>
    </row>
    <row r="3104" ht="12.75">
      <c r="D3104" s="3"/>
    </row>
    <row r="3105" ht="12.75">
      <c r="D3105" s="3"/>
    </row>
    <row r="3106" ht="12.75">
      <c r="D3106" s="3"/>
    </row>
    <row r="3107" ht="12.75">
      <c r="D3107" s="3"/>
    </row>
    <row r="3108" ht="12.75">
      <c r="D3108" s="3"/>
    </row>
    <row r="3109" ht="12.75">
      <c r="D3109" s="3"/>
    </row>
    <row r="3110" ht="12.75">
      <c r="D3110" s="3"/>
    </row>
    <row r="3111" ht="12.75">
      <c r="D3111" s="3"/>
    </row>
    <row r="3112" ht="12.75">
      <c r="D3112" s="3"/>
    </row>
    <row r="3113" ht="12.75">
      <c r="D3113" s="3"/>
    </row>
    <row r="3114" ht="12.75">
      <c r="D3114" s="3"/>
    </row>
    <row r="3115" ht="12.75">
      <c r="D3115" s="3"/>
    </row>
    <row r="3116" ht="12.75">
      <c r="D3116" s="3"/>
    </row>
    <row r="3117" ht="12.75">
      <c r="D3117" s="3"/>
    </row>
    <row r="3118" ht="12.75">
      <c r="D3118" s="3"/>
    </row>
    <row r="3119" ht="12.75">
      <c r="D3119" s="3"/>
    </row>
    <row r="3120" ht="12.75">
      <c r="D3120" s="3"/>
    </row>
    <row r="3121" ht="12.75">
      <c r="D3121" s="3"/>
    </row>
    <row r="3122" ht="12.75">
      <c r="D3122" s="3"/>
    </row>
    <row r="3123" ht="12.75">
      <c r="D3123" s="3"/>
    </row>
    <row r="3124" ht="12.75">
      <c r="D3124" s="3"/>
    </row>
    <row r="3125" ht="12.75">
      <c r="D3125" s="3"/>
    </row>
    <row r="3126" ht="12.75">
      <c r="D3126" s="3"/>
    </row>
    <row r="3127" ht="12.75">
      <c r="D3127" s="3"/>
    </row>
    <row r="3128" ht="12.75">
      <c r="D3128" s="3"/>
    </row>
    <row r="3129" ht="12.75">
      <c r="D3129" s="3"/>
    </row>
    <row r="3130" ht="12.75">
      <c r="D3130" s="3"/>
    </row>
    <row r="3131" ht="12.75">
      <c r="D3131" s="3"/>
    </row>
    <row r="3132" ht="12.75">
      <c r="D3132" s="3"/>
    </row>
    <row r="3133" ht="12.75">
      <c r="D3133" s="3"/>
    </row>
    <row r="3134" ht="12.75">
      <c r="D3134" s="3"/>
    </row>
    <row r="3135" ht="12.75">
      <c r="D3135" s="3"/>
    </row>
    <row r="3136" ht="12.75">
      <c r="D3136" s="3"/>
    </row>
    <row r="3137" ht="12.75">
      <c r="D3137" s="3"/>
    </row>
    <row r="3138" ht="12.75">
      <c r="D3138" s="3"/>
    </row>
    <row r="3139" ht="12.75">
      <c r="D3139" s="3"/>
    </row>
    <row r="3140" ht="12.75">
      <c r="D3140" s="3"/>
    </row>
    <row r="3141" ht="12.75">
      <c r="D3141" s="3"/>
    </row>
    <row r="3142" ht="12.75">
      <c r="D3142" s="3"/>
    </row>
    <row r="3143" ht="12.75">
      <c r="D3143" s="3"/>
    </row>
    <row r="3144" ht="12.75">
      <c r="D3144" s="3"/>
    </row>
    <row r="3145" ht="12.75">
      <c r="D3145" s="3"/>
    </row>
    <row r="3146" ht="12.75">
      <c r="D3146" s="3"/>
    </row>
    <row r="3147" ht="12.75">
      <c r="D3147" s="3"/>
    </row>
    <row r="3148" ht="12.75">
      <c r="D3148" s="3"/>
    </row>
    <row r="3149" ht="12.75">
      <c r="D3149" s="3"/>
    </row>
    <row r="3150" ht="12.75">
      <c r="D3150" s="3"/>
    </row>
    <row r="3151" ht="12.75">
      <c r="D3151" s="3"/>
    </row>
    <row r="3152" ht="12.75">
      <c r="D3152" s="3"/>
    </row>
    <row r="3153" ht="12.75">
      <c r="D3153" s="3"/>
    </row>
    <row r="3154" ht="12.75">
      <c r="D3154" s="3"/>
    </row>
    <row r="3155" ht="12.75">
      <c r="D3155" s="3"/>
    </row>
    <row r="3156" ht="12.75">
      <c r="D3156" s="3"/>
    </row>
    <row r="3157" ht="12.75">
      <c r="D3157" s="3"/>
    </row>
    <row r="3158" ht="12.75">
      <c r="D3158" s="3"/>
    </row>
    <row r="3159" ht="12.75">
      <c r="D3159" s="3"/>
    </row>
    <row r="3160" ht="12.75">
      <c r="D3160" s="3"/>
    </row>
    <row r="3161" ht="12.75">
      <c r="D3161" s="3"/>
    </row>
    <row r="3162" ht="12.75">
      <c r="D3162" s="3"/>
    </row>
    <row r="3163" ht="12.75">
      <c r="D3163" s="3"/>
    </row>
    <row r="3164" ht="12.75">
      <c r="D3164" s="3"/>
    </row>
    <row r="3165" ht="12.75">
      <c r="D3165" s="3"/>
    </row>
    <row r="3166" ht="12.75">
      <c r="D3166" s="3"/>
    </row>
    <row r="3167" ht="12.75">
      <c r="D3167" s="3"/>
    </row>
    <row r="3168" ht="12.75">
      <c r="D3168" s="3"/>
    </row>
    <row r="3169" ht="12.75">
      <c r="D3169" s="3"/>
    </row>
    <row r="3170" ht="12.75">
      <c r="D3170" s="3"/>
    </row>
    <row r="3171" ht="12.75">
      <c r="D3171" s="3"/>
    </row>
    <row r="3172" ht="12.75">
      <c r="D3172" s="3"/>
    </row>
    <row r="3173" ht="12.75">
      <c r="D3173" s="3"/>
    </row>
    <row r="3174" ht="12.75">
      <c r="D3174" s="3"/>
    </row>
    <row r="3175" ht="12.75">
      <c r="D3175" s="3"/>
    </row>
    <row r="3176" ht="12.75">
      <c r="D3176" s="3"/>
    </row>
    <row r="3177" ht="12.75">
      <c r="D3177" s="3"/>
    </row>
    <row r="3178" ht="12.75">
      <c r="D3178" s="3"/>
    </row>
    <row r="3179" ht="12.75">
      <c r="D3179" s="3"/>
    </row>
    <row r="3180" ht="12.75">
      <c r="D3180" s="3"/>
    </row>
    <row r="3181" ht="12.75">
      <c r="D3181" s="3"/>
    </row>
    <row r="3182" ht="12.75">
      <c r="D3182" s="3"/>
    </row>
    <row r="3183" ht="12.75">
      <c r="D3183" s="3"/>
    </row>
    <row r="3184" ht="12.75">
      <c r="D3184" s="3"/>
    </row>
    <row r="3185" ht="12.75">
      <c r="D3185" s="3"/>
    </row>
    <row r="3186" ht="12.75">
      <c r="D3186" s="3"/>
    </row>
    <row r="3187" ht="12.75">
      <c r="D3187" s="3"/>
    </row>
    <row r="3188" ht="12.75">
      <c r="D3188" s="3"/>
    </row>
    <row r="3189" ht="12.75">
      <c r="D3189" s="3"/>
    </row>
    <row r="3190" ht="12.75">
      <c r="D3190" s="3"/>
    </row>
    <row r="3191" ht="12.75">
      <c r="D3191" s="3"/>
    </row>
    <row r="3192" ht="12.75">
      <c r="D3192" s="3"/>
    </row>
    <row r="3193" ht="12.75">
      <c r="D3193" s="3"/>
    </row>
    <row r="3194" ht="12.75">
      <c r="D3194" s="3"/>
    </row>
    <row r="3195" ht="12.75">
      <c r="D3195" s="3"/>
    </row>
    <row r="3196" ht="12.75">
      <c r="D3196" s="3"/>
    </row>
    <row r="3197" ht="12.75">
      <c r="D3197" s="3"/>
    </row>
    <row r="3198" ht="12.75">
      <c r="D3198" s="3"/>
    </row>
    <row r="3199" ht="12.75">
      <c r="D3199" s="3"/>
    </row>
    <row r="3200" ht="12.75">
      <c r="D3200" s="3"/>
    </row>
    <row r="3201" ht="12.75">
      <c r="D3201" s="3"/>
    </row>
    <row r="3202" ht="12.75">
      <c r="D3202" s="3"/>
    </row>
    <row r="3203" ht="12.75">
      <c r="D3203" s="3"/>
    </row>
    <row r="3204" ht="12.75">
      <c r="D3204" s="3"/>
    </row>
    <row r="3205" ht="12.75">
      <c r="D3205" s="3"/>
    </row>
    <row r="3206" ht="12.75">
      <c r="D3206" s="3"/>
    </row>
    <row r="3207" ht="12.75">
      <c r="D3207" s="3"/>
    </row>
    <row r="3208" ht="12.75">
      <c r="D3208" s="3"/>
    </row>
    <row r="3209" ht="12.75">
      <c r="D3209" s="3"/>
    </row>
    <row r="3210" ht="12.75">
      <c r="D3210" s="3"/>
    </row>
    <row r="3211" ht="12.75">
      <c r="D3211" s="3"/>
    </row>
    <row r="3212" ht="12.75">
      <c r="D3212" s="3"/>
    </row>
    <row r="3213" ht="12.75">
      <c r="D3213" s="3"/>
    </row>
    <row r="3214" ht="12.75">
      <c r="D3214" s="3"/>
    </row>
    <row r="3215" ht="12.75">
      <c r="D3215" s="3"/>
    </row>
    <row r="3216" ht="12.75">
      <c r="D3216" s="3"/>
    </row>
    <row r="3217" ht="12.75">
      <c r="D3217" s="3"/>
    </row>
    <row r="3218" ht="12.75">
      <c r="D3218" s="3"/>
    </row>
    <row r="3219" ht="12.75">
      <c r="D3219" s="3"/>
    </row>
    <row r="3220" ht="12.75">
      <c r="D3220" s="3"/>
    </row>
    <row r="3221" ht="12.75">
      <c r="D3221" s="3"/>
    </row>
    <row r="3222" ht="12.75">
      <c r="D3222" s="3"/>
    </row>
    <row r="3223" ht="12.75">
      <c r="D3223" s="3"/>
    </row>
    <row r="3224" ht="12.75">
      <c r="D3224" s="3"/>
    </row>
    <row r="3225" ht="12.75">
      <c r="D3225" s="3"/>
    </row>
    <row r="3226" ht="12.75">
      <c r="D3226" s="3"/>
    </row>
    <row r="3227" ht="12.75">
      <c r="D3227" s="3"/>
    </row>
    <row r="3228" ht="12.75">
      <c r="D3228" s="3"/>
    </row>
    <row r="3229" ht="12.75">
      <c r="D3229" s="3"/>
    </row>
    <row r="3230" ht="12.75">
      <c r="D3230" s="3"/>
    </row>
    <row r="3231" ht="12.75">
      <c r="D3231" s="3"/>
    </row>
    <row r="3232" ht="12.75">
      <c r="D3232" s="3"/>
    </row>
    <row r="3233" ht="12.75">
      <c r="D3233" s="3"/>
    </row>
    <row r="3234" ht="12.75">
      <c r="D3234" s="3"/>
    </row>
    <row r="3235" ht="12.75">
      <c r="D3235" s="3"/>
    </row>
    <row r="3236" ht="12.75">
      <c r="D3236" s="3"/>
    </row>
    <row r="3237" ht="12.75">
      <c r="D3237" s="3"/>
    </row>
    <row r="3238" ht="12.75">
      <c r="D3238" s="3"/>
    </row>
    <row r="3239" ht="12.75">
      <c r="D3239" s="3"/>
    </row>
    <row r="3240" ht="12.75">
      <c r="D3240" s="3"/>
    </row>
    <row r="3241" ht="12.75">
      <c r="D3241" s="3"/>
    </row>
    <row r="3242" ht="12.75">
      <c r="D3242" s="3"/>
    </row>
    <row r="3243" ht="12.75">
      <c r="D3243" s="3"/>
    </row>
    <row r="3244" ht="12.75">
      <c r="D3244" s="3"/>
    </row>
    <row r="3245" ht="12.75">
      <c r="D3245" s="3"/>
    </row>
    <row r="3246" ht="12.75">
      <c r="D3246" s="3"/>
    </row>
    <row r="3247" ht="12.75">
      <c r="D3247" s="3"/>
    </row>
    <row r="3248" ht="12.75">
      <c r="D3248" s="3"/>
    </row>
    <row r="3249" ht="12.75">
      <c r="D3249" s="3"/>
    </row>
    <row r="3250" ht="12.75">
      <c r="D3250" s="3"/>
    </row>
    <row r="3251" ht="12.75">
      <c r="D3251" s="3"/>
    </row>
    <row r="3252" ht="12.75">
      <c r="D3252" s="3"/>
    </row>
    <row r="3253" ht="12.75">
      <c r="D3253" s="3"/>
    </row>
    <row r="3254" ht="12.75">
      <c r="D3254" s="3"/>
    </row>
    <row r="3255" ht="12.75">
      <c r="D3255" s="3"/>
    </row>
    <row r="3256" ht="12.75">
      <c r="D3256" s="3"/>
    </row>
    <row r="3257" ht="12.75">
      <c r="D3257" s="3"/>
    </row>
    <row r="3258" ht="12.75">
      <c r="D3258" s="3"/>
    </row>
    <row r="3259" ht="12.75">
      <c r="D3259" s="3"/>
    </row>
    <row r="3260" ht="12.75">
      <c r="D3260" s="3"/>
    </row>
    <row r="3261" ht="12.75">
      <c r="D3261" s="3"/>
    </row>
    <row r="3262" ht="12.75">
      <c r="D3262" s="3"/>
    </row>
    <row r="3263" ht="12.75">
      <c r="D3263" s="3"/>
    </row>
    <row r="3264" ht="12.75">
      <c r="D3264" s="3"/>
    </row>
    <row r="3265" ht="12.75">
      <c r="D3265" s="3"/>
    </row>
    <row r="3266" ht="12.75">
      <c r="D3266" s="3"/>
    </row>
    <row r="3267" ht="12.75">
      <c r="D3267" s="3"/>
    </row>
    <row r="3268" ht="12.75">
      <c r="D3268" s="3"/>
    </row>
    <row r="3269" ht="12.75">
      <c r="D3269" s="3"/>
    </row>
    <row r="3270" ht="12.75">
      <c r="D3270" s="3"/>
    </row>
    <row r="3271" ht="12.75">
      <c r="D3271" s="3"/>
    </row>
    <row r="3272" ht="12.75">
      <c r="D3272" s="3"/>
    </row>
    <row r="3273" ht="12.75">
      <c r="D3273" s="3"/>
    </row>
    <row r="3274" ht="12.75">
      <c r="D3274" s="3"/>
    </row>
    <row r="3275" ht="12.75">
      <c r="D3275" s="3"/>
    </row>
    <row r="3276" ht="12.75">
      <c r="D3276" s="3"/>
    </row>
    <row r="3277" ht="12.75">
      <c r="D3277" s="3"/>
    </row>
    <row r="3278" ht="12.75">
      <c r="D3278" s="3"/>
    </row>
    <row r="3279" ht="12.75">
      <c r="D3279" s="3"/>
    </row>
    <row r="3280" ht="12.75">
      <c r="D3280" s="3"/>
    </row>
    <row r="3281" ht="12.75">
      <c r="D3281" s="3"/>
    </row>
    <row r="3282" ht="12.75">
      <c r="D3282" s="3"/>
    </row>
    <row r="3283" ht="12.75">
      <c r="D3283" s="3"/>
    </row>
    <row r="3284" ht="12.75">
      <c r="D3284" s="3"/>
    </row>
    <row r="3285" ht="12.75">
      <c r="D3285" s="3"/>
    </row>
    <row r="3286" ht="12.75">
      <c r="D3286" s="3"/>
    </row>
    <row r="3287" ht="12.75">
      <c r="D3287" s="3"/>
    </row>
    <row r="3288" ht="12.75">
      <c r="D3288" s="3"/>
    </row>
    <row r="3289" ht="12.75">
      <c r="D3289" s="3"/>
    </row>
    <row r="3290" ht="12.75">
      <c r="D3290" s="3"/>
    </row>
    <row r="3291" ht="12.75">
      <c r="D3291" s="3"/>
    </row>
    <row r="3292" ht="12.75">
      <c r="D3292" s="3"/>
    </row>
    <row r="3293" ht="12.75">
      <c r="D3293" s="3"/>
    </row>
    <row r="3294" ht="12.75">
      <c r="D3294" s="3"/>
    </row>
    <row r="3295" ht="12.75">
      <c r="D3295" s="3"/>
    </row>
    <row r="3296" ht="12.75">
      <c r="D3296" s="3"/>
    </row>
    <row r="3297" ht="12.75">
      <c r="D3297" s="3"/>
    </row>
    <row r="3298" ht="12.75">
      <c r="D3298" s="3"/>
    </row>
    <row r="3299" ht="12.75">
      <c r="D3299" s="3"/>
    </row>
    <row r="3300" ht="12.75">
      <c r="D3300" s="3"/>
    </row>
    <row r="3301" ht="12.75">
      <c r="D3301" s="3"/>
    </row>
    <row r="3302" ht="12.75">
      <c r="D3302" s="3"/>
    </row>
    <row r="3303" ht="12.75">
      <c r="D3303" s="3"/>
    </row>
    <row r="3304" ht="12.75">
      <c r="D3304" s="3"/>
    </row>
    <row r="3305" ht="12.75">
      <c r="D3305" s="3"/>
    </row>
    <row r="3306" ht="12.75">
      <c r="D3306" s="3"/>
    </row>
    <row r="3307" ht="12.75">
      <c r="D3307" s="3"/>
    </row>
    <row r="3308" ht="12.75">
      <c r="D3308" s="3"/>
    </row>
    <row r="3309" ht="12.75">
      <c r="D3309" s="3"/>
    </row>
    <row r="3310" ht="12.75">
      <c r="D3310" s="3"/>
    </row>
    <row r="3311" ht="12.75">
      <c r="D3311" s="3"/>
    </row>
    <row r="3312" ht="12.75">
      <c r="D3312" s="3"/>
    </row>
    <row r="3313" ht="12.75">
      <c r="D3313" s="3"/>
    </row>
    <row r="3314" ht="12.75">
      <c r="D3314" s="3"/>
    </row>
    <row r="3315" ht="12.75">
      <c r="D3315" s="3"/>
    </row>
    <row r="3316" ht="12.75">
      <c r="D3316" s="3"/>
    </row>
    <row r="3317" ht="12.75">
      <c r="D3317" s="3"/>
    </row>
    <row r="3318" ht="12.75">
      <c r="D3318" s="3"/>
    </row>
    <row r="3319" ht="12.75">
      <c r="D3319" s="3"/>
    </row>
    <row r="3320" ht="12.75">
      <c r="D3320" s="3"/>
    </row>
    <row r="3321" ht="12.75">
      <c r="D3321" s="3"/>
    </row>
    <row r="3322" ht="12.75">
      <c r="D3322" s="3"/>
    </row>
    <row r="3323" ht="12.75">
      <c r="D3323" s="3"/>
    </row>
    <row r="3324" ht="12.75">
      <c r="D3324" s="3"/>
    </row>
    <row r="3325" ht="12.75">
      <c r="D3325" s="3"/>
    </row>
    <row r="3326" ht="12.75">
      <c r="D3326" s="3"/>
    </row>
    <row r="3327" ht="12.75">
      <c r="D3327" s="3"/>
    </row>
    <row r="3328" ht="12.75">
      <c r="D3328" s="3"/>
    </row>
    <row r="3329" ht="12.75">
      <c r="D3329" s="3"/>
    </row>
    <row r="3330" ht="12.75">
      <c r="D3330" s="3"/>
    </row>
    <row r="3331" ht="12.75">
      <c r="D3331" s="3"/>
    </row>
    <row r="3332" ht="12.75">
      <c r="D3332" s="3"/>
    </row>
    <row r="3333" ht="12.75">
      <c r="D3333" s="3"/>
    </row>
    <row r="3334" ht="12.75">
      <c r="D3334" s="3"/>
    </row>
    <row r="3335" ht="12.75">
      <c r="D3335" s="3"/>
    </row>
    <row r="3336" ht="12.75">
      <c r="D3336" s="3"/>
    </row>
    <row r="3337" ht="12.75">
      <c r="D3337" s="3"/>
    </row>
    <row r="3338" ht="12.75">
      <c r="D3338" s="3"/>
    </row>
    <row r="3339" ht="12.75">
      <c r="D3339" s="3"/>
    </row>
    <row r="3340" ht="12.75">
      <c r="D3340" s="3"/>
    </row>
    <row r="3341" ht="12.75">
      <c r="D3341" s="3"/>
    </row>
    <row r="3342" ht="12.75">
      <c r="D3342" s="3"/>
    </row>
    <row r="3343" ht="12.75">
      <c r="D3343" s="3"/>
    </row>
    <row r="3344" ht="12.75">
      <c r="D3344" s="3"/>
    </row>
    <row r="3345" ht="12.75">
      <c r="D3345" s="3"/>
    </row>
    <row r="3346" ht="12.75">
      <c r="D3346" s="3"/>
    </row>
    <row r="3347" ht="12.75">
      <c r="D3347" s="3"/>
    </row>
    <row r="3348" ht="12.75">
      <c r="D3348" s="3"/>
    </row>
    <row r="3349" ht="12.75">
      <c r="D3349" s="3"/>
    </row>
    <row r="3350" ht="12.75">
      <c r="D3350" s="3"/>
    </row>
    <row r="3351" ht="12.75">
      <c r="D3351" s="3"/>
    </row>
    <row r="3352" ht="12.75">
      <c r="D3352" s="3"/>
    </row>
    <row r="3353" ht="12.75">
      <c r="D3353" s="3"/>
    </row>
    <row r="3354" ht="12.75">
      <c r="D3354" s="3"/>
    </row>
    <row r="3355" ht="12.75">
      <c r="D3355" s="3"/>
    </row>
    <row r="3356" ht="12.75">
      <c r="D3356" s="3"/>
    </row>
    <row r="3357" ht="12.75">
      <c r="D3357" s="3"/>
    </row>
    <row r="3358" ht="12.75">
      <c r="D3358" s="3"/>
    </row>
    <row r="3359" ht="12.75">
      <c r="D3359" s="3"/>
    </row>
    <row r="3360" ht="12.75">
      <c r="D3360" s="3"/>
    </row>
    <row r="3361" ht="12.75">
      <c r="D3361" s="3"/>
    </row>
    <row r="3362" ht="12.75">
      <c r="D3362" s="3"/>
    </row>
    <row r="3363" ht="12.75">
      <c r="D3363" s="3"/>
    </row>
    <row r="3364" ht="12.75">
      <c r="D3364" s="3"/>
    </row>
    <row r="3365" ht="12.75">
      <c r="D3365" s="3"/>
    </row>
    <row r="3366" ht="12.75">
      <c r="D3366" s="3"/>
    </row>
    <row r="3367" ht="12.75">
      <c r="D3367" s="3"/>
    </row>
    <row r="3368" ht="12.75">
      <c r="D3368" s="3"/>
    </row>
    <row r="3369" ht="12.75">
      <c r="D3369" s="3"/>
    </row>
    <row r="3370" ht="12.75">
      <c r="D3370" s="3"/>
    </row>
    <row r="3371" ht="12.75">
      <c r="D3371" s="3"/>
    </row>
    <row r="3372" ht="12.75">
      <c r="D3372" s="3"/>
    </row>
    <row r="3373" ht="12.75">
      <c r="D3373" s="3"/>
    </row>
    <row r="3374" ht="12.75">
      <c r="D3374" s="3"/>
    </row>
    <row r="3375" ht="12.75">
      <c r="D3375" s="3"/>
    </row>
    <row r="3376" ht="12.75">
      <c r="D3376" s="3"/>
    </row>
    <row r="3377" ht="12.75">
      <c r="D3377" s="3"/>
    </row>
    <row r="3378" ht="12.75">
      <c r="D3378" s="3"/>
    </row>
    <row r="3379" ht="12.75">
      <c r="D3379" s="3"/>
    </row>
    <row r="3380" ht="12.75">
      <c r="D3380" s="3"/>
    </row>
    <row r="3381" ht="12.75">
      <c r="D3381" s="3"/>
    </row>
    <row r="3382" ht="12.75">
      <c r="D3382" s="3"/>
    </row>
    <row r="3383" ht="12.75">
      <c r="D3383" s="3"/>
    </row>
    <row r="3384" ht="12.75">
      <c r="D3384" s="3"/>
    </row>
    <row r="3385" ht="12.75">
      <c r="D3385" s="3"/>
    </row>
    <row r="3386" ht="12.75">
      <c r="D3386" s="3"/>
    </row>
    <row r="3387" ht="12.75">
      <c r="D3387" s="3"/>
    </row>
    <row r="3388" ht="12.75">
      <c r="D3388" s="3"/>
    </row>
    <row r="3389" ht="12.75">
      <c r="D3389" s="3"/>
    </row>
    <row r="3390" ht="12.75">
      <c r="D3390" s="3"/>
    </row>
    <row r="3391" ht="12.75">
      <c r="D3391" s="3"/>
    </row>
    <row r="3392" ht="12.75">
      <c r="D3392" s="3"/>
    </row>
    <row r="3393" ht="12.75">
      <c r="D3393" s="3"/>
    </row>
    <row r="3394" ht="12.75">
      <c r="D3394" s="3"/>
    </row>
    <row r="3395" ht="12.75">
      <c r="D3395" s="3"/>
    </row>
    <row r="3396" ht="12.75">
      <c r="D3396" s="3"/>
    </row>
    <row r="3397" ht="12.75">
      <c r="D3397" s="3"/>
    </row>
    <row r="3398" ht="12.75">
      <c r="D3398" s="3"/>
    </row>
    <row r="3399" ht="12.75">
      <c r="D3399" s="3"/>
    </row>
    <row r="3400" ht="12.75">
      <c r="D3400" s="3"/>
    </row>
    <row r="3401" ht="12.75">
      <c r="D3401" s="3"/>
    </row>
    <row r="3402" ht="12.75">
      <c r="D3402" s="3"/>
    </row>
    <row r="3403" ht="12.75">
      <c r="D3403" s="3"/>
    </row>
    <row r="3404" ht="12.75">
      <c r="D3404" s="3"/>
    </row>
    <row r="3405" ht="12.75">
      <c r="D3405" s="3"/>
    </row>
    <row r="3406" ht="12.75">
      <c r="D3406" s="3"/>
    </row>
    <row r="3407" ht="12.75">
      <c r="D3407" s="3"/>
    </row>
    <row r="3408" ht="12.75">
      <c r="D3408" s="3"/>
    </row>
    <row r="3409" ht="12.75">
      <c r="D3409" s="3"/>
    </row>
    <row r="3410" ht="12.75">
      <c r="D3410" s="3"/>
    </row>
    <row r="3411" ht="12.75">
      <c r="D3411" s="3"/>
    </row>
    <row r="3412" ht="12.75">
      <c r="D3412" s="3"/>
    </row>
    <row r="3413" ht="12.75">
      <c r="D3413" s="3"/>
    </row>
    <row r="3414" ht="12.75">
      <c r="D3414" s="3"/>
    </row>
    <row r="3415" ht="12.75">
      <c r="D3415" s="3"/>
    </row>
    <row r="3416" ht="12.75">
      <c r="D3416" s="3"/>
    </row>
    <row r="3417" ht="12.75">
      <c r="D3417" s="3"/>
    </row>
    <row r="3418" ht="12.75">
      <c r="D3418" s="3"/>
    </row>
    <row r="3419" ht="12.75">
      <c r="D3419" s="3"/>
    </row>
    <row r="3420" ht="12.75">
      <c r="D3420" s="3"/>
    </row>
    <row r="3421" ht="12.75">
      <c r="D3421" s="3"/>
    </row>
    <row r="3422" ht="12.75">
      <c r="D3422" s="3"/>
    </row>
    <row r="3423" ht="12.75">
      <c r="D3423" s="3"/>
    </row>
    <row r="3424" ht="12.75">
      <c r="D3424" s="3"/>
    </row>
    <row r="3425" ht="12.75">
      <c r="D3425" s="3"/>
    </row>
    <row r="3426" ht="12.75">
      <c r="D3426" s="3"/>
    </row>
    <row r="3427" ht="12.75">
      <c r="D3427" s="3"/>
    </row>
    <row r="3428" ht="12.75">
      <c r="D3428" s="3"/>
    </row>
    <row r="3429" ht="12.75">
      <c r="D3429" s="3"/>
    </row>
    <row r="3430" ht="12.75">
      <c r="D3430" s="3"/>
    </row>
    <row r="3431" ht="12.75">
      <c r="D3431" s="3"/>
    </row>
    <row r="3432" ht="12.75">
      <c r="D3432" s="3"/>
    </row>
    <row r="3433" ht="12.75">
      <c r="D3433" s="3"/>
    </row>
    <row r="3434" ht="12.75">
      <c r="D3434" s="3"/>
    </row>
    <row r="3435" ht="12.75">
      <c r="D3435" s="3"/>
    </row>
    <row r="3436" ht="12.75">
      <c r="D3436" s="3"/>
    </row>
    <row r="3437" ht="12.75">
      <c r="D3437" s="3"/>
    </row>
    <row r="3438" ht="12.75">
      <c r="D3438" s="3"/>
    </row>
    <row r="3439" ht="12.75">
      <c r="D3439" s="3"/>
    </row>
    <row r="3440" ht="12.75">
      <c r="D3440" s="3"/>
    </row>
    <row r="3441" ht="12.75">
      <c r="D3441" s="3"/>
    </row>
    <row r="3442" ht="12.75">
      <c r="D3442" s="3"/>
    </row>
    <row r="3443" ht="12.75">
      <c r="D3443" s="3"/>
    </row>
    <row r="3444" ht="12.75">
      <c r="D3444" s="3"/>
    </row>
    <row r="3445" ht="12.75">
      <c r="D3445" s="3"/>
    </row>
    <row r="3446" ht="12.75">
      <c r="D3446" s="3"/>
    </row>
    <row r="3447" ht="12.75">
      <c r="D3447" s="3"/>
    </row>
    <row r="3448" ht="12.75">
      <c r="D3448" s="3"/>
    </row>
    <row r="3449" ht="12.75">
      <c r="D3449" s="3"/>
    </row>
    <row r="3450" ht="12.75">
      <c r="D3450" s="3"/>
    </row>
    <row r="3451" ht="12.75">
      <c r="D3451" s="3"/>
    </row>
    <row r="3452" ht="12.75">
      <c r="D3452" s="3"/>
    </row>
    <row r="3453" ht="12.75">
      <c r="D3453" s="3"/>
    </row>
    <row r="3454" ht="12.75">
      <c r="D3454" s="3"/>
    </row>
    <row r="3455" ht="12.75">
      <c r="D3455" s="3"/>
    </row>
    <row r="3456" ht="12.75">
      <c r="D3456" s="3"/>
    </row>
    <row r="3457" ht="12.75">
      <c r="D3457" s="3"/>
    </row>
    <row r="3458" ht="12.75">
      <c r="D3458" s="3"/>
    </row>
    <row r="3459" ht="12.75">
      <c r="D3459" s="3"/>
    </row>
    <row r="3460" ht="12.75">
      <c r="D3460" s="3"/>
    </row>
    <row r="3461" ht="12.75">
      <c r="D3461" s="3"/>
    </row>
    <row r="3462" ht="12.75">
      <c r="D3462" s="3"/>
    </row>
    <row r="3463" ht="12.75">
      <c r="D3463" s="3"/>
    </row>
    <row r="3464" ht="12.75">
      <c r="D3464" s="3"/>
    </row>
    <row r="3465" ht="12.75">
      <c r="D3465" s="3"/>
    </row>
    <row r="3466" ht="12.75">
      <c r="D3466" s="3"/>
    </row>
    <row r="3467" ht="12.75">
      <c r="D3467" s="3"/>
    </row>
    <row r="3468" ht="12.75">
      <c r="D3468" s="3"/>
    </row>
    <row r="3469" ht="12.75">
      <c r="D3469" s="3"/>
    </row>
    <row r="3470" ht="12.75">
      <c r="D3470" s="3"/>
    </row>
    <row r="3471" ht="12.75">
      <c r="D3471" s="3"/>
    </row>
    <row r="3472" ht="12.75">
      <c r="D3472" s="3"/>
    </row>
    <row r="3473" ht="12.75">
      <c r="D3473" s="3"/>
    </row>
    <row r="3474" ht="12.75">
      <c r="D3474" s="3"/>
    </row>
    <row r="3475" ht="12.75">
      <c r="D3475" s="3"/>
    </row>
    <row r="3476" ht="12.75">
      <c r="D3476" s="3"/>
    </row>
    <row r="3477" ht="12.75">
      <c r="D3477" s="3"/>
    </row>
    <row r="3478" ht="12.75">
      <c r="D3478" s="3"/>
    </row>
    <row r="3479" ht="12.75">
      <c r="D3479" s="3"/>
    </row>
    <row r="3480" ht="12.75">
      <c r="D3480" s="3"/>
    </row>
    <row r="3481" ht="12.75">
      <c r="D3481" s="3"/>
    </row>
    <row r="3482" ht="12.75">
      <c r="D3482" s="3"/>
    </row>
    <row r="3483" ht="12.75">
      <c r="D3483" s="3"/>
    </row>
    <row r="3484" ht="12.75">
      <c r="D3484" s="3"/>
    </row>
    <row r="3485" ht="12.75">
      <c r="D3485" s="3"/>
    </row>
    <row r="3486" ht="12.75">
      <c r="D3486" s="3"/>
    </row>
    <row r="3487" ht="12.75">
      <c r="D3487" s="3"/>
    </row>
    <row r="3488" ht="12.75">
      <c r="D3488" s="3"/>
    </row>
    <row r="3489" ht="12.75">
      <c r="D3489" s="3"/>
    </row>
    <row r="3490" ht="12.75">
      <c r="D3490" s="3"/>
    </row>
    <row r="3491" ht="12.75">
      <c r="D3491" s="3"/>
    </row>
    <row r="3492" ht="12.75">
      <c r="D3492" s="3"/>
    </row>
    <row r="3493" ht="12.75">
      <c r="D3493" s="3"/>
    </row>
    <row r="3494" ht="12.75">
      <c r="D3494" s="3"/>
    </row>
    <row r="3495" ht="12.75">
      <c r="D3495" s="3"/>
    </row>
    <row r="3496" ht="12.75">
      <c r="D3496" s="3"/>
    </row>
    <row r="3497" ht="12.75">
      <c r="D3497" s="3"/>
    </row>
    <row r="3498" ht="12.75">
      <c r="D3498" s="3"/>
    </row>
    <row r="3499" ht="12.75">
      <c r="D3499" s="3"/>
    </row>
    <row r="3500" ht="12.75">
      <c r="D3500" s="3"/>
    </row>
    <row r="3501" ht="12.75">
      <c r="D3501" s="3"/>
    </row>
    <row r="3502" ht="12.75">
      <c r="D3502" s="3"/>
    </row>
    <row r="3503" ht="12.75">
      <c r="D3503" s="3"/>
    </row>
    <row r="3504" ht="12.75">
      <c r="D3504" s="3"/>
    </row>
    <row r="3505" ht="12.75">
      <c r="D3505" s="3"/>
    </row>
    <row r="3506" ht="12.75">
      <c r="D3506" s="3"/>
    </row>
    <row r="3507" ht="12.75">
      <c r="D3507" s="3"/>
    </row>
    <row r="3508" ht="12.75">
      <c r="D3508" s="3"/>
    </row>
    <row r="3509" ht="12.75">
      <c r="D3509" s="3"/>
    </row>
    <row r="3510" ht="12.75">
      <c r="D3510" s="3"/>
    </row>
    <row r="3511" ht="12.75">
      <c r="D3511" s="3"/>
    </row>
    <row r="3512" ht="12.75">
      <c r="D3512" s="3"/>
    </row>
    <row r="3513" ht="12.75">
      <c r="D3513" s="3"/>
    </row>
    <row r="3514" ht="12.75">
      <c r="D3514" s="3"/>
    </row>
    <row r="3515" ht="12.75">
      <c r="D3515" s="3"/>
    </row>
    <row r="3516" ht="12.75">
      <c r="D3516" s="3"/>
    </row>
    <row r="3517" ht="12.75">
      <c r="D3517" s="3"/>
    </row>
    <row r="3518" ht="12.75">
      <c r="D3518" s="3"/>
    </row>
    <row r="3519" ht="12.75">
      <c r="D3519" s="3"/>
    </row>
    <row r="3520" ht="12.75">
      <c r="D3520" s="3"/>
    </row>
    <row r="3521" ht="12.75">
      <c r="D3521" s="3"/>
    </row>
    <row r="3522" ht="12.75">
      <c r="D3522" s="3"/>
    </row>
    <row r="3523" ht="12.75">
      <c r="D3523" s="3"/>
    </row>
    <row r="3524" ht="12.75">
      <c r="D3524" s="3"/>
    </row>
    <row r="3525" ht="12.75">
      <c r="D3525" s="3"/>
    </row>
    <row r="3526" ht="12.75">
      <c r="D3526" s="3"/>
    </row>
    <row r="3527" ht="12.75">
      <c r="D3527" s="3"/>
    </row>
    <row r="3528" ht="12.75">
      <c r="D3528" s="3"/>
    </row>
    <row r="3529" ht="12.75">
      <c r="D3529" s="3"/>
    </row>
    <row r="3530" ht="12.75">
      <c r="D3530" s="3"/>
    </row>
    <row r="3531" ht="12.75">
      <c r="D3531" s="3"/>
    </row>
    <row r="3532" ht="12.75">
      <c r="D3532" s="3"/>
    </row>
    <row r="3533" ht="12.75">
      <c r="D3533" s="3"/>
    </row>
    <row r="3534" ht="12.75">
      <c r="D3534" s="3"/>
    </row>
    <row r="3535" ht="12.75">
      <c r="D3535" s="3"/>
    </row>
    <row r="3536" ht="12.75">
      <c r="D3536" s="3"/>
    </row>
    <row r="3537" ht="12.75">
      <c r="D3537" s="3"/>
    </row>
    <row r="3538" ht="12.75">
      <c r="D3538" s="3"/>
    </row>
    <row r="3539" ht="12.75">
      <c r="D3539" s="3"/>
    </row>
    <row r="3540" ht="12.75">
      <c r="D3540" s="3"/>
    </row>
    <row r="3541" ht="12.75">
      <c r="D3541" s="3"/>
    </row>
    <row r="3542" ht="12.75">
      <c r="D3542" s="3"/>
    </row>
    <row r="3543" ht="12.75">
      <c r="D3543" s="3"/>
    </row>
    <row r="3544" ht="12.75">
      <c r="D3544" s="3"/>
    </row>
    <row r="3545" ht="12.75">
      <c r="D3545" s="3"/>
    </row>
    <row r="3546" ht="12.75">
      <c r="D3546" s="3"/>
    </row>
    <row r="3547" ht="12.75">
      <c r="D3547" s="3"/>
    </row>
    <row r="3548" ht="12.75">
      <c r="D3548" s="3"/>
    </row>
    <row r="3549" ht="12.75">
      <c r="D3549" s="3"/>
    </row>
    <row r="3550" ht="12.75">
      <c r="D3550" s="3"/>
    </row>
    <row r="3551" ht="12.75">
      <c r="D3551" s="3"/>
    </row>
    <row r="3552" ht="12.75">
      <c r="D3552" s="3"/>
    </row>
    <row r="3553" ht="12.75">
      <c r="D3553" s="3"/>
    </row>
    <row r="3554" ht="12.75">
      <c r="D3554" s="3"/>
    </row>
    <row r="3555" ht="12.75">
      <c r="D3555" s="3"/>
    </row>
    <row r="3556" ht="12.75">
      <c r="D3556" s="3"/>
    </row>
    <row r="3557" ht="12.75">
      <c r="D3557" s="3"/>
    </row>
    <row r="3558" ht="12.75">
      <c r="D3558" s="3"/>
    </row>
    <row r="3559" ht="12.75">
      <c r="D3559" s="3"/>
    </row>
    <row r="3560" ht="12.75">
      <c r="D3560" s="3"/>
    </row>
    <row r="3561" ht="12.75">
      <c r="D3561" s="3"/>
    </row>
    <row r="3562" ht="12.75">
      <c r="D3562" s="3"/>
    </row>
    <row r="3563" ht="12.75">
      <c r="D3563" s="3"/>
    </row>
    <row r="3564" ht="12.75">
      <c r="D3564" s="3"/>
    </row>
    <row r="3565" ht="12.75">
      <c r="D3565" s="3"/>
    </row>
    <row r="3566" ht="12.75">
      <c r="D3566" s="3"/>
    </row>
    <row r="3567" ht="12.75">
      <c r="D3567" s="3"/>
    </row>
    <row r="3568" ht="12.75">
      <c r="D3568" s="3"/>
    </row>
    <row r="3569" ht="12.75">
      <c r="D3569" s="3"/>
    </row>
    <row r="3570" ht="12.75">
      <c r="D3570" s="3"/>
    </row>
    <row r="3571" ht="12.75">
      <c r="D3571" s="3"/>
    </row>
    <row r="3572" ht="12.75">
      <c r="D3572" s="3"/>
    </row>
    <row r="3573" ht="12.75">
      <c r="D3573" s="3"/>
    </row>
    <row r="3574" ht="12.75">
      <c r="D3574" s="3"/>
    </row>
    <row r="3575" ht="12.75">
      <c r="D3575" s="3"/>
    </row>
    <row r="3576" ht="12.75">
      <c r="D3576" s="3"/>
    </row>
    <row r="3577" ht="12.75">
      <c r="D3577" s="3"/>
    </row>
    <row r="3578" ht="12.75">
      <c r="D3578" s="3"/>
    </row>
    <row r="3579" ht="12.75">
      <c r="D3579" s="3"/>
    </row>
    <row r="3580" ht="12.75">
      <c r="D3580" s="3"/>
    </row>
    <row r="3581" ht="12.75">
      <c r="D3581" s="3"/>
    </row>
    <row r="3582" ht="12.75">
      <c r="D3582" s="3"/>
    </row>
    <row r="3583" ht="12.75">
      <c r="D3583" s="3"/>
    </row>
    <row r="3584" ht="12.75">
      <c r="D3584" s="3"/>
    </row>
    <row r="3585" ht="12.75">
      <c r="D3585" s="3"/>
    </row>
    <row r="3586" ht="12.75">
      <c r="D3586" s="3"/>
    </row>
    <row r="3587" ht="12.75">
      <c r="D3587" s="3"/>
    </row>
    <row r="3588" ht="12.75">
      <c r="D3588" s="3"/>
    </row>
    <row r="3589" ht="12.75">
      <c r="D3589" s="3"/>
    </row>
    <row r="3590" ht="12.75">
      <c r="D3590" s="3"/>
    </row>
    <row r="3591" ht="12.75">
      <c r="D3591" s="3"/>
    </row>
    <row r="3592" ht="12.75">
      <c r="D3592" s="3"/>
    </row>
    <row r="3593" ht="12.75">
      <c r="D3593" s="3"/>
    </row>
    <row r="3594" ht="12.75">
      <c r="D3594" s="3"/>
    </row>
    <row r="3595" ht="12.75">
      <c r="D3595" s="3"/>
    </row>
    <row r="3596" ht="12.75">
      <c r="D3596" s="3"/>
    </row>
    <row r="3597" ht="12.75">
      <c r="D3597" s="3"/>
    </row>
    <row r="3598" ht="12.75">
      <c r="D3598" s="3"/>
    </row>
    <row r="3599" ht="12.75">
      <c r="D3599" s="3"/>
    </row>
    <row r="3600" ht="12.75">
      <c r="D3600" s="3"/>
    </row>
    <row r="3601" ht="12.75">
      <c r="D3601" s="3"/>
    </row>
    <row r="3602" ht="12.75">
      <c r="D3602" s="3"/>
    </row>
    <row r="3603" ht="12.75">
      <c r="D3603" s="3"/>
    </row>
    <row r="3604" ht="12.75">
      <c r="D3604" s="3"/>
    </row>
    <row r="3605" ht="12.75">
      <c r="D3605" s="3"/>
    </row>
    <row r="3606" ht="12.75">
      <c r="D3606" s="3"/>
    </row>
    <row r="3607" ht="12.75">
      <c r="D3607" s="3"/>
    </row>
    <row r="3608" ht="12.75">
      <c r="D3608" s="3"/>
    </row>
    <row r="3609" ht="12.75">
      <c r="D3609" s="3"/>
    </row>
    <row r="3610" ht="12.75">
      <c r="D3610" s="3"/>
    </row>
    <row r="3611" ht="12.75">
      <c r="D3611" s="3"/>
    </row>
    <row r="3612" ht="12.75">
      <c r="D3612" s="3"/>
    </row>
    <row r="3613" ht="12.75">
      <c r="D3613" s="3"/>
    </row>
    <row r="3614" ht="12.75">
      <c r="D3614" s="3"/>
    </row>
    <row r="3615" ht="12.75">
      <c r="D3615" s="3"/>
    </row>
    <row r="3616" ht="12.75">
      <c r="D3616" s="3"/>
    </row>
    <row r="3617" ht="12.75">
      <c r="D3617" s="3"/>
    </row>
    <row r="3618" ht="12.75">
      <c r="D3618" s="3"/>
    </row>
    <row r="3619" ht="12.75">
      <c r="D3619" s="3"/>
    </row>
    <row r="3620" ht="12.75">
      <c r="D3620" s="3"/>
    </row>
    <row r="3621" ht="12.75">
      <c r="D3621" s="3"/>
    </row>
    <row r="3622" ht="12.75">
      <c r="D3622" s="3"/>
    </row>
    <row r="3623" ht="12.75">
      <c r="D3623" s="3"/>
    </row>
    <row r="3624" ht="12.75">
      <c r="D3624" s="3"/>
    </row>
    <row r="3625" ht="12.75">
      <c r="D3625" s="3"/>
    </row>
    <row r="3626" ht="12.75">
      <c r="D3626" s="3"/>
    </row>
    <row r="3627" ht="12.75">
      <c r="D3627" s="3"/>
    </row>
    <row r="3628" ht="12.75">
      <c r="D3628" s="3"/>
    </row>
    <row r="3629" ht="12.75">
      <c r="D3629" s="3"/>
    </row>
    <row r="3630" ht="12.75">
      <c r="D3630" s="3"/>
    </row>
    <row r="3631" ht="12.75">
      <c r="D3631" s="3"/>
    </row>
    <row r="3632" ht="12.75">
      <c r="D3632" s="3"/>
    </row>
    <row r="3633" ht="12.75">
      <c r="D3633" s="3"/>
    </row>
    <row r="3634" ht="12.75">
      <c r="D3634" s="3"/>
    </row>
    <row r="3635" ht="12.75">
      <c r="D3635" s="3"/>
    </row>
    <row r="3636" ht="12.75">
      <c r="D3636" s="3"/>
    </row>
    <row r="3637" ht="12.75">
      <c r="D3637" s="3"/>
    </row>
    <row r="3638" ht="12.75">
      <c r="D3638" s="3"/>
    </row>
    <row r="3639" ht="12.75">
      <c r="D3639" s="3"/>
    </row>
    <row r="3640" ht="12.75">
      <c r="D3640" s="3"/>
    </row>
    <row r="3641" ht="12.75">
      <c r="D3641" s="3"/>
    </row>
    <row r="3642" ht="12.75">
      <c r="D3642" s="3"/>
    </row>
    <row r="3643" ht="12.75">
      <c r="D3643" s="3"/>
    </row>
    <row r="3644" ht="12.75">
      <c r="D3644" s="3"/>
    </row>
    <row r="3645" ht="12.75">
      <c r="D3645" s="3"/>
    </row>
    <row r="3646" ht="12.75">
      <c r="D3646" s="3"/>
    </row>
    <row r="3647" ht="12.75">
      <c r="D3647" s="3"/>
    </row>
    <row r="3648" ht="12.75">
      <c r="D3648" s="3"/>
    </row>
    <row r="3649" ht="12.75">
      <c r="D3649" s="3"/>
    </row>
    <row r="3650" ht="12.75">
      <c r="D3650" s="3"/>
    </row>
    <row r="3651" ht="12.75">
      <c r="D3651" s="3"/>
    </row>
    <row r="3652" ht="12.75">
      <c r="D3652" s="3"/>
    </row>
    <row r="3653" ht="12.75">
      <c r="D3653" s="3"/>
    </row>
    <row r="3654" ht="12.75">
      <c r="D3654" s="3"/>
    </row>
    <row r="3655" ht="12.75">
      <c r="D3655" s="3"/>
    </row>
    <row r="3656" ht="12.75">
      <c r="D3656" s="3"/>
    </row>
    <row r="3657" ht="12.75">
      <c r="D3657" s="3"/>
    </row>
    <row r="3658" ht="12.75">
      <c r="D3658" s="3"/>
    </row>
    <row r="3659" ht="12.75">
      <c r="D3659" s="3"/>
    </row>
    <row r="3660" ht="12.75">
      <c r="D3660" s="3"/>
    </row>
    <row r="3661" ht="12.75">
      <c r="D3661" s="3"/>
    </row>
    <row r="3662" ht="12.75">
      <c r="D3662" s="3"/>
    </row>
    <row r="3663" ht="12.75">
      <c r="D3663" s="3"/>
    </row>
    <row r="3664" ht="12.75">
      <c r="D3664" s="3"/>
    </row>
    <row r="3665" ht="12.75">
      <c r="D3665" s="3"/>
    </row>
    <row r="3666" ht="12.75">
      <c r="D3666" s="3"/>
    </row>
    <row r="3667" ht="12.75">
      <c r="D3667" s="3"/>
    </row>
    <row r="3668" ht="12.75">
      <c r="D3668" s="3"/>
    </row>
    <row r="3669" ht="12.75">
      <c r="D3669" s="3"/>
    </row>
    <row r="3670" ht="12.75">
      <c r="D3670" s="3"/>
    </row>
    <row r="3671" ht="12.75">
      <c r="D3671" s="3"/>
    </row>
    <row r="3672" ht="12.75">
      <c r="D3672" s="3"/>
    </row>
    <row r="3673" ht="12.75">
      <c r="D3673" s="3"/>
    </row>
    <row r="3674" ht="12.75">
      <c r="D3674" s="3"/>
    </row>
    <row r="3675" ht="12.75">
      <c r="D3675" s="3"/>
    </row>
    <row r="3676" ht="12.75">
      <c r="D3676" s="3"/>
    </row>
    <row r="3677" ht="12.75">
      <c r="D3677" s="3"/>
    </row>
    <row r="3678" ht="12.75">
      <c r="D3678" s="3"/>
    </row>
    <row r="3679" ht="12.75">
      <c r="D3679" s="3"/>
    </row>
    <row r="3680" ht="12.75">
      <c r="D3680" s="3"/>
    </row>
    <row r="3681" ht="12.75">
      <c r="D3681" s="3"/>
    </row>
    <row r="3682" ht="12.75">
      <c r="D3682" s="3"/>
    </row>
    <row r="3683" ht="12.75">
      <c r="D3683" s="3"/>
    </row>
    <row r="3684" ht="12.75">
      <c r="D3684" s="3"/>
    </row>
    <row r="3685" ht="12.75">
      <c r="D3685" s="3"/>
    </row>
    <row r="3686" ht="12.75">
      <c r="D3686" s="3"/>
    </row>
    <row r="3687" ht="12.75">
      <c r="D3687" s="3"/>
    </row>
    <row r="3688" ht="12.75">
      <c r="D3688" s="3"/>
    </row>
    <row r="3689" ht="12.75">
      <c r="D3689" s="3"/>
    </row>
    <row r="3690" ht="12.75">
      <c r="D3690" s="3"/>
    </row>
    <row r="3691" ht="12.75">
      <c r="D3691" s="3"/>
    </row>
    <row r="3692" ht="12.75">
      <c r="D3692" s="3"/>
    </row>
    <row r="3693" ht="12.75">
      <c r="D3693" s="3"/>
    </row>
    <row r="3694" ht="12.75">
      <c r="D3694" s="3"/>
    </row>
    <row r="3695" ht="12.75">
      <c r="D3695" s="3"/>
    </row>
    <row r="3696" ht="12.75">
      <c r="D3696" s="3"/>
    </row>
    <row r="3697" ht="12.75">
      <c r="D3697" s="3"/>
    </row>
    <row r="3698" ht="12.75">
      <c r="D3698" s="3"/>
    </row>
    <row r="3699" ht="12.75">
      <c r="D3699" s="3"/>
    </row>
    <row r="3700" ht="12.75">
      <c r="D3700" s="3"/>
    </row>
    <row r="3701" ht="12.75">
      <c r="D3701" s="3"/>
    </row>
    <row r="3702" ht="12.75">
      <c r="D3702" s="3"/>
    </row>
    <row r="3703" ht="12.75">
      <c r="D3703" s="3"/>
    </row>
    <row r="3704" ht="12.75">
      <c r="D3704" s="3"/>
    </row>
    <row r="3705" ht="12.75">
      <c r="D3705" s="3"/>
    </row>
    <row r="3706" ht="12.75">
      <c r="D3706" s="3"/>
    </row>
    <row r="3707" ht="12.75">
      <c r="D3707" s="3"/>
    </row>
    <row r="3708" ht="12.75">
      <c r="D3708" s="3"/>
    </row>
    <row r="3709" ht="12.75">
      <c r="D3709" s="3"/>
    </row>
    <row r="3710" ht="12.75">
      <c r="D3710" s="3"/>
    </row>
    <row r="3711" ht="12.75">
      <c r="D3711" s="3"/>
    </row>
    <row r="3712" ht="12.75">
      <c r="D3712" s="3"/>
    </row>
    <row r="3713" ht="12.75">
      <c r="D3713" s="3"/>
    </row>
    <row r="3714" ht="12.75">
      <c r="D3714" s="3"/>
    </row>
    <row r="3715" ht="12.75">
      <c r="D3715" s="3"/>
    </row>
    <row r="3716" ht="12.75">
      <c r="D3716" s="3"/>
    </row>
    <row r="3717" ht="12.75">
      <c r="D3717" s="3"/>
    </row>
    <row r="3718" ht="12.75">
      <c r="D3718" s="3"/>
    </row>
    <row r="3719" ht="12.75">
      <c r="D3719" s="3"/>
    </row>
    <row r="3720" ht="12.75">
      <c r="D3720" s="3"/>
    </row>
    <row r="3721" ht="12.75">
      <c r="D3721" s="3"/>
    </row>
    <row r="3722" ht="12.75">
      <c r="D3722" s="3"/>
    </row>
    <row r="3723" ht="12.75">
      <c r="D3723" s="3"/>
    </row>
    <row r="3724" ht="12.75">
      <c r="D3724" s="3"/>
    </row>
    <row r="3725" ht="12.75">
      <c r="D3725" s="3"/>
    </row>
    <row r="3726" ht="12.75">
      <c r="D3726" s="3"/>
    </row>
    <row r="3727" ht="12.75">
      <c r="D3727" s="3"/>
    </row>
    <row r="3728" ht="12.75">
      <c r="D3728" s="3"/>
    </row>
    <row r="3729" ht="12.75">
      <c r="D3729" s="3"/>
    </row>
    <row r="3730" ht="12.75">
      <c r="D3730" s="3"/>
    </row>
    <row r="3731" ht="12.75">
      <c r="D3731" s="3"/>
    </row>
    <row r="3732" ht="12.75">
      <c r="D3732" s="3"/>
    </row>
    <row r="3733" ht="12.75">
      <c r="D3733" s="3"/>
    </row>
    <row r="3734" ht="12.75">
      <c r="D3734" s="3"/>
    </row>
    <row r="3735" ht="12.75">
      <c r="D3735" s="3"/>
    </row>
    <row r="3736" ht="12.75">
      <c r="D3736" s="3"/>
    </row>
    <row r="3737" ht="12.75">
      <c r="D3737" s="3"/>
    </row>
    <row r="3738" ht="12.75">
      <c r="D3738" s="3"/>
    </row>
    <row r="3739" ht="12.75">
      <c r="D3739" s="3"/>
    </row>
    <row r="3740" ht="12.75">
      <c r="D3740" s="3"/>
    </row>
    <row r="3741" ht="12.75">
      <c r="D3741" s="3"/>
    </row>
    <row r="3742" ht="12.75">
      <c r="D3742" s="3"/>
    </row>
    <row r="3743" ht="12.75">
      <c r="D3743" s="3"/>
    </row>
    <row r="3744" ht="12.75">
      <c r="D3744" s="3"/>
    </row>
    <row r="3745" ht="12.75">
      <c r="D3745" s="3"/>
    </row>
    <row r="3746" ht="12.75">
      <c r="D3746" s="3"/>
    </row>
    <row r="3747" ht="12.75">
      <c r="D3747" s="3"/>
    </row>
    <row r="3748" ht="12.75">
      <c r="D3748" s="3"/>
    </row>
    <row r="3749" ht="12.75">
      <c r="D3749" s="3"/>
    </row>
    <row r="3750" ht="12.75">
      <c r="D3750" s="3"/>
    </row>
    <row r="3751" ht="12.75">
      <c r="D3751" s="3"/>
    </row>
    <row r="3752" ht="12.75">
      <c r="D3752" s="3"/>
    </row>
    <row r="3753" ht="12.75">
      <c r="D3753" s="3"/>
    </row>
    <row r="3754" ht="12.75">
      <c r="D3754" s="3"/>
    </row>
    <row r="3755" ht="12.75">
      <c r="D3755" s="3"/>
    </row>
    <row r="3756" ht="12.75">
      <c r="D3756" s="3"/>
    </row>
    <row r="3757" ht="12.75">
      <c r="D3757" s="3"/>
    </row>
    <row r="3758" ht="12.75">
      <c r="D3758" s="3"/>
    </row>
    <row r="3759" ht="12.75">
      <c r="D3759" s="3"/>
    </row>
    <row r="3760" ht="12.75">
      <c r="D3760" s="3"/>
    </row>
    <row r="3761" ht="12.75">
      <c r="D3761" s="3"/>
    </row>
    <row r="3762" ht="12.75">
      <c r="D3762" s="3"/>
    </row>
    <row r="3763" ht="12.75">
      <c r="D3763" s="3"/>
    </row>
    <row r="3764" ht="12.75">
      <c r="D3764" s="3"/>
    </row>
    <row r="3765" ht="12.75">
      <c r="D3765" s="3"/>
    </row>
    <row r="3766" ht="12.75">
      <c r="D3766" s="3"/>
    </row>
    <row r="3767" ht="12.75">
      <c r="D3767" s="3"/>
    </row>
    <row r="3768" ht="12.75">
      <c r="D3768" s="3"/>
    </row>
    <row r="3769" ht="12.75">
      <c r="D3769" s="3"/>
    </row>
    <row r="3770" ht="12.75">
      <c r="D3770" s="3"/>
    </row>
    <row r="3771" ht="12.75">
      <c r="D3771" s="3"/>
    </row>
    <row r="3772" ht="12.75">
      <c r="D3772" s="3"/>
    </row>
    <row r="3773" ht="12.75">
      <c r="D3773" s="3"/>
    </row>
    <row r="3774" ht="12.75">
      <c r="D3774" s="3"/>
    </row>
    <row r="3775" ht="12.75">
      <c r="D3775" s="3"/>
    </row>
    <row r="3776" ht="12.75">
      <c r="D3776" s="3"/>
    </row>
    <row r="3777" ht="12.75">
      <c r="D3777" s="3"/>
    </row>
    <row r="3778" ht="12.75">
      <c r="D3778" s="3"/>
    </row>
    <row r="3779" ht="12.75">
      <c r="D3779" s="3"/>
    </row>
    <row r="3780" ht="12.75">
      <c r="D3780" s="3"/>
    </row>
    <row r="3781" ht="12.75">
      <c r="D3781" s="3"/>
    </row>
    <row r="3782" ht="12.75">
      <c r="D3782" s="3"/>
    </row>
    <row r="3783" ht="12.75">
      <c r="D3783" s="3"/>
    </row>
    <row r="3784" ht="12.75">
      <c r="D3784" s="3"/>
    </row>
    <row r="3785" ht="12.75">
      <c r="D3785" s="3"/>
    </row>
    <row r="3786" ht="12.75">
      <c r="D3786" s="3"/>
    </row>
    <row r="3787" ht="12.75">
      <c r="D3787" s="3"/>
    </row>
    <row r="3788" ht="12.75">
      <c r="D3788" s="3"/>
    </row>
    <row r="3789" ht="12.75">
      <c r="D3789" s="3"/>
    </row>
    <row r="3790" ht="12.75">
      <c r="D3790" s="3"/>
    </row>
    <row r="3791" ht="12.75">
      <c r="D3791" s="3"/>
    </row>
    <row r="3792" ht="12.75">
      <c r="D3792" s="3"/>
    </row>
    <row r="3793" ht="12.75">
      <c r="D3793" s="3"/>
    </row>
    <row r="3794" ht="12.75">
      <c r="D3794" s="3"/>
    </row>
    <row r="3795" ht="12.75">
      <c r="D3795" s="3"/>
    </row>
    <row r="3796" ht="12.75">
      <c r="D3796" s="3"/>
    </row>
    <row r="3797" ht="12.75">
      <c r="D3797" s="3"/>
    </row>
    <row r="3798" ht="12.75">
      <c r="D3798" s="3"/>
    </row>
    <row r="3799" ht="12.75">
      <c r="D3799" s="3"/>
    </row>
    <row r="3800" ht="12.75">
      <c r="D3800" s="3"/>
    </row>
    <row r="3801" ht="12.75">
      <c r="D3801" s="3"/>
    </row>
    <row r="3802" ht="12.75">
      <c r="D3802" s="3"/>
    </row>
    <row r="3803" ht="12.75">
      <c r="D3803" s="3"/>
    </row>
    <row r="3804" ht="12.75">
      <c r="D3804" s="3"/>
    </row>
    <row r="3805" ht="12.75">
      <c r="D3805" s="3"/>
    </row>
    <row r="3806" ht="12.75">
      <c r="D3806" s="3"/>
    </row>
    <row r="3807" ht="12.75">
      <c r="D3807" s="3"/>
    </row>
    <row r="3808" ht="12.75">
      <c r="D3808" s="3"/>
    </row>
    <row r="3809" ht="12.75">
      <c r="D3809" s="3"/>
    </row>
    <row r="3810" ht="12.75">
      <c r="D3810" s="3"/>
    </row>
    <row r="3811" ht="12.75">
      <c r="D3811" s="3"/>
    </row>
    <row r="3812" ht="12.75">
      <c r="D3812" s="3"/>
    </row>
    <row r="3813" ht="12.75">
      <c r="D3813" s="3"/>
    </row>
    <row r="3814" ht="12.75">
      <c r="D3814" s="3"/>
    </row>
    <row r="3815" ht="12.75">
      <c r="D3815" s="3"/>
    </row>
    <row r="3816" ht="12.75">
      <c r="D3816" s="3"/>
    </row>
    <row r="3817" ht="12.75">
      <c r="D3817" s="3"/>
    </row>
    <row r="3818" ht="12.75">
      <c r="D3818" s="3"/>
    </row>
    <row r="3819" ht="12.75">
      <c r="D3819" s="3"/>
    </row>
    <row r="3820" ht="12.75">
      <c r="D3820" s="3"/>
    </row>
    <row r="3821" ht="12.75">
      <c r="D3821" s="3"/>
    </row>
    <row r="3822" ht="12.75">
      <c r="D3822" s="3"/>
    </row>
    <row r="3823" ht="12.75">
      <c r="D3823" s="3"/>
    </row>
    <row r="3824" ht="12.75">
      <c r="D3824" s="3"/>
    </row>
    <row r="3825" ht="12.75">
      <c r="D3825" s="3"/>
    </row>
    <row r="3826" ht="12.75">
      <c r="D3826" s="3"/>
    </row>
    <row r="3827" ht="12.75">
      <c r="D3827" s="3"/>
    </row>
    <row r="3828" ht="12.75">
      <c r="D3828" s="3"/>
    </row>
    <row r="3829" ht="12.75">
      <c r="D3829" s="3"/>
    </row>
    <row r="3830" ht="12.75">
      <c r="D3830" s="3"/>
    </row>
    <row r="3831" ht="12.75">
      <c r="D3831" s="3"/>
    </row>
    <row r="3832" ht="12.75">
      <c r="D3832" s="3"/>
    </row>
    <row r="3833" ht="12.75">
      <c r="D3833" s="3"/>
    </row>
    <row r="3834" ht="12.75">
      <c r="D3834" s="3"/>
    </row>
    <row r="3835" ht="12.75">
      <c r="D3835" s="3"/>
    </row>
    <row r="3836" ht="12.75">
      <c r="D3836" s="3"/>
    </row>
    <row r="3837" ht="12.75">
      <c r="D3837" s="3"/>
    </row>
    <row r="3838" ht="12.75">
      <c r="D3838" s="3"/>
    </row>
    <row r="3839" ht="12.75">
      <c r="D3839" s="3"/>
    </row>
    <row r="3840" ht="12.75">
      <c r="D3840" s="3"/>
    </row>
    <row r="3841" ht="12.75">
      <c r="D3841" s="3"/>
    </row>
    <row r="3842" ht="12.75">
      <c r="D3842" s="3"/>
    </row>
    <row r="3843" ht="12.75">
      <c r="D3843" s="3"/>
    </row>
    <row r="3844" ht="12.75">
      <c r="D3844" s="3"/>
    </row>
    <row r="3845" ht="12.75">
      <c r="D3845" s="3"/>
    </row>
    <row r="3846" ht="12.75">
      <c r="D3846" s="3"/>
    </row>
    <row r="3847" ht="12.75">
      <c r="D3847" s="3"/>
    </row>
    <row r="3848" ht="12.75">
      <c r="D3848" s="3"/>
    </row>
    <row r="3849" ht="12.75">
      <c r="D3849" s="3"/>
    </row>
    <row r="3850" ht="12.75">
      <c r="D3850" s="3"/>
    </row>
    <row r="3851" ht="12.75">
      <c r="D3851" s="3"/>
    </row>
    <row r="3852" ht="12.75">
      <c r="D3852" s="3"/>
    </row>
    <row r="3853" ht="12.75">
      <c r="D3853" s="3"/>
    </row>
    <row r="3854" ht="12.75">
      <c r="D3854" s="3"/>
    </row>
    <row r="3855" ht="12.75">
      <c r="D3855" s="3"/>
    </row>
    <row r="3856" ht="12.75">
      <c r="D3856" s="3"/>
    </row>
    <row r="3857" ht="12.75">
      <c r="D3857" s="3"/>
    </row>
    <row r="3858" ht="12.75">
      <c r="D3858" s="3"/>
    </row>
    <row r="3859" ht="12.75">
      <c r="D3859" s="3"/>
    </row>
    <row r="3860" ht="12.75">
      <c r="D3860" s="3"/>
    </row>
    <row r="3861" ht="12.75">
      <c r="D3861" s="3"/>
    </row>
    <row r="3862" ht="12.75">
      <c r="D3862" s="3"/>
    </row>
    <row r="3863" ht="12.75">
      <c r="D3863" s="3"/>
    </row>
    <row r="3864" ht="12.75">
      <c r="D3864" s="3"/>
    </row>
    <row r="3865" ht="12.75">
      <c r="D3865" s="3"/>
    </row>
    <row r="3866" ht="12.75">
      <c r="D3866" s="3"/>
    </row>
    <row r="3867" ht="12.75">
      <c r="D3867" s="3"/>
    </row>
    <row r="3868" ht="12.75">
      <c r="D3868" s="3"/>
    </row>
    <row r="3869" ht="12.75">
      <c r="D3869" s="3"/>
    </row>
    <row r="3870" ht="12.75">
      <c r="D3870" s="3"/>
    </row>
    <row r="3871" ht="12.75">
      <c r="D3871" s="3"/>
    </row>
    <row r="3872" ht="12.75">
      <c r="D3872" s="3"/>
    </row>
    <row r="3873" ht="12.75">
      <c r="D3873" s="3"/>
    </row>
    <row r="3874" ht="12.75">
      <c r="D3874" s="3"/>
    </row>
    <row r="3875" ht="12.75">
      <c r="D3875" s="3"/>
    </row>
    <row r="3876" ht="12.75">
      <c r="D3876" s="3"/>
    </row>
    <row r="3877" ht="12.75">
      <c r="D3877" s="3"/>
    </row>
    <row r="3878" ht="12.75">
      <c r="D3878" s="3"/>
    </row>
    <row r="3879" ht="12.75">
      <c r="D3879" s="3"/>
    </row>
    <row r="3880" ht="12.75">
      <c r="D3880" s="3"/>
    </row>
    <row r="3881" ht="12.75">
      <c r="D3881" s="3"/>
    </row>
    <row r="3882" ht="12.75">
      <c r="D3882" s="3"/>
    </row>
    <row r="3883" ht="12.75">
      <c r="D3883" s="3"/>
    </row>
    <row r="3884" ht="12.75">
      <c r="D3884" s="3"/>
    </row>
    <row r="3885" ht="12.75">
      <c r="D3885" s="3"/>
    </row>
    <row r="3886" ht="12.75">
      <c r="D3886" s="3"/>
    </row>
    <row r="3887" ht="12.75">
      <c r="D3887" s="3"/>
    </row>
    <row r="3888" ht="12.75">
      <c r="D3888" s="3"/>
    </row>
    <row r="3889" ht="12.75">
      <c r="D3889" s="3"/>
    </row>
    <row r="3890" ht="12.75">
      <c r="D3890" s="3"/>
    </row>
    <row r="3891" ht="12.75">
      <c r="D3891" s="3"/>
    </row>
    <row r="3892" ht="12.75">
      <c r="D3892" s="3"/>
    </row>
    <row r="3893" ht="12.75">
      <c r="D3893" s="3"/>
    </row>
    <row r="3894" ht="12.75">
      <c r="D3894" s="3"/>
    </row>
    <row r="3895" ht="12.75">
      <c r="D3895" s="3"/>
    </row>
    <row r="3896" ht="12.75">
      <c r="D3896" s="3"/>
    </row>
    <row r="3897" ht="12.75">
      <c r="D3897" s="3"/>
    </row>
    <row r="3898" ht="12.75">
      <c r="D3898" s="3"/>
    </row>
    <row r="3899" ht="12.75">
      <c r="D3899" s="3"/>
    </row>
    <row r="3900" ht="12.75">
      <c r="D3900" s="2"/>
    </row>
    <row r="3901" ht="12.75">
      <c r="D3901" s="2"/>
    </row>
    <row r="3902" ht="12.75">
      <c r="D3902" s="2"/>
    </row>
    <row r="3903" ht="12.75">
      <c r="D3903" s="2"/>
    </row>
    <row r="3904" ht="12.75">
      <c r="D3904" s="2"/>
    </row>
    <row r="3905" ht="12.75">
      <c r="D3905" s="2"/>
    </row>
    <row r="3906" ht="12.75">
      <c r="D3906" s="2"/>
    </row>
    <row r="3907" ht="12.75">
      <c r="D3907" s="2"/>
    </row>
    <row r="3908" ht="12.75">
      <c r="D3908" s="2"/>
    </row>
    <row r="3909" ht="12.75">
      <c r="D3909" s="2"/>
    </row>
    <row r="3910" ht="12.75">
      <c r="D3910" s="2"/>
    </row>
    <row r="3911" ht="12.75">
      <c r="D3911" s="2"/>
    </row>
    <row r="3912" ht="12.75">
      <c r="D3912" s="2"/>
    </row>
    <row r="3913" ht="12.75">
      <c r="D3913" s="2"/>
    </row>
    <row r="3914" ht="12.75">
      <c r="D3914" s="2"/>
    </row>
    <row r="3915" ht="12.75">
      <c r="D3915" s="2"/>
    </row>
    <row r="3916" ht="12.75">
      <c r="D3916" s="2"/>
    </row>
    <row r="3917" ht="12.75">
      <c r="D3917" s="2"/>
    </row>
    <row r="3918" ht="12.75">
      <c r="D3918" s="2"/>
    </row>
    <row r="3919" ht="12.75">
      <c r="D3919" s="2"/>
    </row>
    <row r="3920" ht="12.75">
      <c r="D3920" s="2"/>
    </row>
    <row r="3921" ht="12.75">
      <c r="D3921" s="2"/>
    </row>
    <row r="3922" ht="12.75">
      <c r="D3922" s="2"/>
    </row>
    <row r="3923" ht="12.75">
      <c r="D3923" s="2"/>
    </row>
    <row r="3924" ht="12.75">
      <c r="D3924" s="2"/>
    </row>
    <row r="3925" ht="12.75">
      <c r="D3925" s="2"/>
    </row>
    <row r="3926" ht="12.75">
      <c r="D3926" s="2"/>
    </row>
    <row r="3927" ht="12.75">
      <c r="D3927" s="2"/>
    </row>
    <row r="3928" ht="12.75">
      <c r="D3928" s="2"/>
    </row>
    <row r="3929" ht="12.75">
      <c r="D3929" s="2"/>
    </row>
    <row r="3930" ht="12.75">
      <c r="D3930" s="2"/>
    </row>
    <row r="3931" ht="12.75">
      <c r="D3931" s="2"/>
    </row>
    <row r="3932" ht="12.75">
      <c r="D3932" s="2"/>
    </row>
    <row r="3933" ht="12.75">
      <c r="D3933" s="2"/>
    </row>
    <row r="3934" ht="12.75">
      <c r="D3934" s="2"/>
    </row>
    <row r="3935" ht="12.75">
      <c r="D3935" s="2"/>
    </row>
    <row r="3936" ht="12.75">
      <c r="D3936" s="2"/>
    </row>
    <row r="3937" ht="12.75">
      <c r="D3937" s="2"/>
    </row>
    <row r="3938" ht="12.75">
      <c r="D3938" s="2"/>
    </row>
    <row r="3939" ht="12.75">
      <c r="D3939" s="2"/>
    </row>
    <row r="3940" ht="12.75">
      <c r="D3940" s="2"/>
    </row>
    <row r="3941" ht="12.75">
      <c r="D3941" s="2"/>
    </row>
    <row r="3942" ht="12.75">
      <c r="D3942" s="2"/>
    </row>
    <row r="3943" ht="12.75">
      <c r="D3943" s="2"/>
    </row>
    <row r="3944" ht="12.75">
      <c r="D3944" s="2"/>
    </row>
    <row r="3945" ht="12.75">
      <c r="D3945" s="2"/>
    </row>
    <row r="3946" ht="12.75">
      <c r="D3946" s="2"/>
    </row>
    <row r="3947" ht="12.75">
      <c r="D3947" s="2"/>
    </row>
    <row r="3948" ht="12.75">
      <c r="D3948" s="2"/>
    </row>
    <row r="3949" ht="12.75">
      <c r="D3949" s="2"/>
    </row>
    <row r="3950" ht="12.75">
      <c r="D3950" s="2"/>
    </row>
    <row r="3951" ht="12.75">
      <c r="D3951" s="2"/>
    </row>
    <row r="3952" ht="12.75">
      <c r="D3952" s="2"/>
    </row>
    <row r="3953" ht="12.75">
      <c r="D3953" s="2"/>
    </row>
    <row r="3954" ht="12.75">
      <c r="D3954" s="2"/>
    </row>
    <row r="3955" ht="12.75">
      <c r="D3955" s="2"/>
    </row>
    <row r="3956" ht="12.75">
      <c r="D3956" s="2"/>
    </row>
    <row r="3957" ht="12.75">
      <c r="D3957" s="2"/>
    </row>
    <row r="3958" ht="12.75">
      <c r="D3958" s="2"/>
    </row>
    <row r="3959" ht="12.75">
      <c r="D3959" s="2"/>
    </row>
    <row r="3960" ht="12.75">
      <c r="D3960" s="2"/>
    </row>
    <row r="3961" ht="12.75">
      <c r="D3961" s="2"/>
    </row>
    <row r="3962" ht="12.75">
      <c r="D3962" s="2"/>
    </row>
    <row r="3963" ht="12.75">
      <c r="D3963" s="2"/>
    </row>
    <row r="3964" ht="12.75">
      <c r="D3964" s="2"/>
    </row>
    <row r="3965" ht="12.75">
      <c r="D3965" s="2"/>
    </row>
    <row r="3966" ht="12.75">
      <c r="D3966" s="2"/>
    </row>
    <row r="3967" ht="12.75">
      <c r="D3967" s="2"/>
    </row>
    <row r="3968" ht="12.75">
      <c r="D3968" s="2"/>
    </row>
    <row r="3969" ht="12.75">
      <c r="D3969" s="2"/>
    </row>
    <row r="3970" ht="12.75">
      <c r="D3970" s="2"/>
    </row>
    <row r="3971" ht="12.75">
      <c r="D3971" s="2"/>
    </row>
    <row r="3972" ht="12.75">
      <c r="D3972" s="2"/>
    </row>
    <row r="3973" ht="12.75">
      <c r="D3973" s="2"/>
    </row>
    <row r="3974" ht="12.75">
      <c r="D3974" s="2"/>
    </row>
    <row r="3975" ht="12.75">
      <c r="D3975" s="2"/>
    </row>
    <row r="3976" ht="12.75">
      <c r="D3976" s="2"/>
    </row>
    <row r="3977" ht="12.75">
      <c r="D3977" s="2"/>
    </row>
    <row r="3978" ht="12.75">
      <c r="D3978" s="2"/>
    </row>
    <row r="3979" ht="12.75">
      <c r="D3979" s="2"/>
    </row>
    <row r="3980" ht="12.75">
      <c r="D3980" s="2"/>
    </row>
    <row r="3981" ht="12.75">
      <c r="D3981" s="2"/>
    </row>
    <row r="3982" ht="12.75">
      <c r="D3982" s="2"/>
    </row>
    <row r="3983" ht="12.75">
      <c r="D3983" s="2"/>
    </row>
    <row r="3984" ht="12.75">
      <c r="D3984" s="2"/>
    </row>
    <row r="3985" ht="12.75">
      <c r="D3985" s="2"/>
    </row>
    <row r="3986" ht="12.75">
      <c r="D3986" s="2"/>
    </row>
    <row r="3987" ht="12.75">
      <c r="D3987" s="2"/>
    </row>
    <row r="3988" ht="12.75">
      <c r="D3988" s="2"/>
    </row>
    <row r="3989" ht="12.75">
      <c r="D3989" s="2"/>
    </row>
    <row r="3990" ht="12.75">
      <c r="D3990" s="2"/>
    </row>
    <row r="3991" ht="12.75">
      <c r="D3991" s="2"/>
    </row>
    <row r="3992" ht="12.75">
      <c r="D3992" s="2"/>
    </row>
    <row r="3993" ht="12.75">
      <c r="D3993" s="2"/>
    </row>
    <row r="3994" ht="12.75">
      <c r="D3994" s="2"/>
    </row>
    <row r="3995" ht="12.75">
      <c r="D3995" s="2"/>
    </row>
    <row r="3996" ht="12.75">
      <c r="D3996" s="2"/>
    </row>
    <row r="3997" ht="12.75">
      <c r="D3997" s="2"/>
    </row>
    <row r="3998" ht="12.75">
      <c r="D3998" s="2"/>
    </row>
    <row r="3999" ht="12.75">
      <c r="D3999" s="2"/>
    </row>
    <row r="4000" ht="12.75">
      <c r="D4000" s="2"/>
    </row>
    <row r="4001" ht="12.75">
      <c r="D4001" s="2"/>
    </row>
    <row r="4002" ht="12.75">
      <c r="D4002" s="2"/>
    </row>
    <row r="4003" ht="12.75">
      <c r="D4003" s="2"/>
    </row>
    <row r="4004" ht="12.75">
      <c r="D4004" s="2"/>
    </row>
    <row r="4005" ht="12.75">
      <c r="D4005" s="2"/>
    </row>
    <row r="4006" ht="12.75">
      <c r="D4006" s="2"/>
    </row>
    <row r="4007" ht="12.75">
      <c r="D4007" s="2"/>
    </row>
    <row r="4008" ht="12.75">
      <c r="D4008" s="2"/>
    </row>
    <row r="4009" ht="12.75">
      <c r="D4009" s="2"/>
    </row>
    <row r="4010" ht="12.75">
      <c r="D4010" s="2"/>
    </row>
    <row r="4011" ht="12.75">
      <c r="D4011" s="2"/>
    </row>
    <row r="4012" ht="12.75">
      <c r="D4012" s="2"/>
    </row>
    <row r="4013" ht="12.75">
      <c r="D4013" s="2"/>
    </row>
    <row r="4014" ht="12.75">
      <c r="D4014" s="2"/>
    </row>
    <row r="4015" ht="12.75">
      <c r="D4015" s="2"/>
    </row>
    <row r="4016" ht="12.75">
      <c r="D4016" s="2"/>
    </row>
    <row r="4017" ht="12.75">
      <c r="D4017" s="2"/>
    </row>
    <row r="4018" ht="12.75">
      <c r="D4018" s="2"/>
    </row>
    <row r="4019" ht="12.75">
      <c r="D4019" s="2"/>
    </row>
    <row r="4020" ht="12.75">
      <c r="D4020" s="2"/>
    </row>
    <row r="4021" ht="12.75">
      <c r="D4021" s="2"/>
    </row>
    <row r="4022" ht="12.75">
      <c r="D4022" s="2"/>
    </row>
    <row r="4023" ht="12.75">
      <c r="D4023" s="2"/>
    </row>
    <row r="4024" ht="12.75">
      <c r="D4024" s="2"/>
    </row>
    <row r="4025" ht="12.75">
      <c r="D4025" s="2"/>
    </row>
    <row r="4026" ht="12.75">
      <c r="D4026" s="2"/>
    </row>
    <row r="4027" ht="12.75">
      <c r="D4027" s="2"/>
    </row>
    <row r="4028" ht="12.75">
      <c r="D4028" s="2"/>
    </row>
    <row r="4029" ht="12.75">
      <c r="D4029" s="2"/>
    </row>
    <row r="4030" ht="12.75">
      <c r="D4030" s="2"/>
    </row>
    <row r="4031" ht="12.75">
      <c r="D4031" s="2"/>
    </row>
    <row r="4032" ht="12.75">
      <c r="D4032" s="2"/>
    </row>
    <row r="4033" ht="12.75">
      <c r="D4033" s="2"/>
    </row>
    <row r="4034" ht="12.75">
      <c r="D4034" s="2"/>
    </row>
    <row r="4035" ht="12.75">
      <c r="D4035" s="2"/>
    </row>
    <row r="4036" ht="12.75">
      <c r="D4036" s="2"/>
    </row>
    <row r="4037" ht="12.75">
      <c r="D4037" s="2"/>
    </row>
    <row r="4038" ht="12.75">
      <c r="D4038" s="2"/>
    </row>
    <row r="4039" ht="12.75">
      <c r="D4039" s="2"/>
    </row>
    <row r="4040" ht="12.75">
      <c r="D4040" s="2"/>
    </row>
    <row r="4041" ht="12.75">
      <c r="D4041" s="2"/>
    </row>
    <row r="4042" ht="12.75">
      <c r="D4042" s="2"/>
    </row>
    <row r="4043" ht="12.75">
      <c r="D4043" s="2"/>
    </row>
    <row r="4044" ht="12.75">
      <c r="D4044" s="2"/>
    </row>
    <row r="4045" ht="12.75">
      <c r="D4045" s="2"/>
    </row>
    <row r="4046" ht="12.75">
      <c r="D4046" s="2"/>
    </row>
    <row r="4047" ht="12.75">
      <c r="D4047" s="2"/>
    </row>
    <row r="4048" ht="12.75">
      <c r="D4048" s="2"/>
    </row>
    <row r="4049" ht="12.75">
      <c r="D4049" s="2"/>
    </row>
    <row r="4050" ht="12.75">
      <c r="D4050" s="2"/>
    </row>
    <row r="4051" ht="12.75">
      <c r="D4051" s="2"/>
    </row>
    <row r="4052" ht="12.75">
      <c r="D4052" s="2"/>
    </row>
    <row r="4053" ht="12.75">
      <c r="D4053" s="2"/>
    </row>
    <row r="4054" ht="12.75">
      <c r="D4054" s="2"/>
    </row>
    <row r="4055" ht="12.75">
      <c r="D4055" s="2"/>
    </row>
    <row r="4056" ht="12.75">
      <c r="D4056" s="2"/>
    </row>
    <row r="4057" ht="12.75">
      <c r="D4057" s="2"/>
    </row>
    <row r="4058" ht="12.75">
      <c r="D4058" s="2"/>
    </row>
    <row r="4059" ht="12.75">
      <c r="D4059" s="2"/>
    </row>
    <row r="4060" ht="12.75">
      <c r="D4060" s="2"/>
    </row>
    <row r="4061" ht="12.75">
      <c r="D4061" s="2"/>
    </row>
    <row r="4062" ht="12.75">
      <c r="D4062" s="2"/>
    </row>
    <row r="4063" ht="12.75">
      <c r="D4063" s="2"/>
    </row>
    <row r="4064" ht="12.75">
      <c r="D4064" s="2"/>
    </row>
    <row r="4065" ht="12.75">
      <c r="D4065" s="2"/>
    </row>
    <row r="4066" ht="12.75">
      <c r="D4066" s="2"/>
    </row>
    <row r="4067" ht="12.75">
      <c r="D4067" s="2"/>
    </row>
    <row r="4068" ht="12.75">
      <c r="D4068" s="2"/>
    </row>
    <row r="4069" ht="12.75">
      <c r="D4069" s="2"/>
    </row>
    <row r="4070" ht="12.75">
      <c r="D4070" s="2"/>
    </row>
    <row r="4071" ht="12.75">
      <c r="D4071" s="2"/>
    </row>
    <row r="4072" ht="12.75">
      <c r="D4072" s="2"/>
    </row>
    <row r="4073" ht="12.75">
      <c r="D4073" s="2"/>
    </row>
    <row r="4074" ht="12.75">
      <c r="D4074" s="2"/>
    </row>
    <row r="4075" ht="12.75">
      <c r="D4075" s="2"/>
    </row>
    <row r="4076" ht="12.75">
      <c r="D4076" s="2"/>
    </row>
    <row r="4077" ht="12.75">
      <c r="D4077" s="2"/>
    </row>
    <row r="4078" ht="12.75">
      <c r="D4078" s="2"/>
    </row>
    <row r="4079" ht="12.75">
      <c r="D4079" s="2"/>
    </row>
    <row r="4080" ht="12.75">
      <c r="D4080" s="2"/>
    </row>
    <row r="4081" ht="12.75">
      <c r="D4081" s="2"/>
    </row>
    <row r="4082" ht="12.75">
      <c r="D4082" s="2"/>
    </row>
    <row r="4083" ht="12.75">
      <c r="D4083" s="2"/>
    </row>
    <row r="4084" ht="12.75">
      <c r="D4084" s="2"/>
    </row>
    <row r="4085" ht="12.75">
      <c r="D4085" s="2"/>
    </row>
    <row r="4086" ht="12.75">
      <c r="D4086" s="2"/>
    </row>
    <row r="4087" ht="12.75">
      <c r="D4087" s="2"/>
    </row>
    <row r="4088" ht="12.75">
      <c r="D4088" s="2"/>
    </row>
    <row r="4089" ht="12.75">
      <c r="D4089" s="2"/>
    </row>
    <row r="4090" ht="12.75">
      <c r="D4090" s="2"/>
    </row>
    <row r="4091" ht="12.75">
      <c r="D4091" s="2"/>
    </row>
    <row r="4092" ht="12.75">
      <c r="D4092" s="2"/>
    </row>
    <row r="4093" ht="12.75">
      <c r="D4093" s="2"/>
    </row>
    <row r="4094" ht="12.75">
      <c r="D4094" s="2"/>
    </row>
    <row r="4095" ht="12.75">
      <c r="D4095" s="2"/>
    </row>
    <row r="4096" ht="12.75">
      <c r="D4096" s="2"/>
    </row>
    <row r="4097" ht="12.75">
      <c r="D4097" s="2"/>
    </row>
    <row r="4098" ht="12.75">
      <c r="D4098" s="2"/>
    </row>
    <row r="4099" ht="12.75">
      <c r="D4099" s="2"/>
    </row>
    <row r="4100" ht="12.75">
      <c r="D4100" s="2"/>
    </row>
    <row r="4101" ht="12.75">
      <c r="D4101" s="2"/>
    </row>
    <row r="4102" ht="12.75">
      <c r="D4102" s="2"/>
    </row>
    <row r="4103" ht="12.75">
      <c r="D4103" s="2"/>
    </row>
    <row r="4104" ht="12.75">
      <c r="D4104" s="2"/>
    </row>
    <row r="4105" ht="12.75">
      <c r="D4105" s="2"/>
    </row>
    <row r="4106" ht="12.75">
      <c r="D4106" s="2"/>
    </row>
    <row r="4107" ht="12.75">
      <c r="D4107" s="2"/>
    </row>
    <row r="4108" ht="12.75">
      <c r="D4108" s="2"/>
    </row>
    <row r="4109" ht="12.75">
      <c r="D4109" s="2"/>
    </row>
    <row r="4110" ht="12.75">
      <c r="D4110" s="2"/>
    </row>
    <row r="4111" ht="12.75">
      <c r="D4111" s="2"/>
    </row>
    <row r="4112" ht="12.75">
      <c r="D4112" s="2"/>
    </row>
    <row r="4113" ht="12.75">
      <c r="D4113" s="2"/>
    </row>
    <row r="4114" ht="12.75">
      <c r="D4114" s="2"/>
    </row>
    <row r="4115" ht="12.75">
      <c r="D4115" s="2"/>
    </row>
    <row r="4116" ht="12.75">
      <c r="D4116" s="2"/>
    </row>
    <row r="4117" ht="12.75">
      <c r="D4117" s="2"/>
    </row>
    <row r="4118" ht="12.75">
      <c r="D4118" s="2"/>
    </row>
    <row r="4119" ht="12.75">
      <c r="D4119" s="2"/>
    </row>
    <row r="4120" ht="12.75">
      <c r="D4120" s="2"/>
    </row>
    <row r="4121" ht="12.75">
      <c r="D4121" s="2"/>
    </row>
    <row r="4122" ht="12.75">
      <c r="D4122" s="2"/>
    </row>
    <row r="4123" ht="12.75">
      <c r="D4123" s="2"/>
    </row>
    <row r="4124" ht="12.75">
      <c r="D4124" s="2"/>
    </row>
    <row r="4125" ht="12.75">
      <c r="D4125" s="2"/>
    </row>
    <row r="4126" ht="12.75">
      <c r="D4126" s="2"/>
    </row>
    <row r="4127" ht="12.75">
      <c r="D4127" s="2"/>
    </row>
    <row r="4128" ht="12.75">
      <c r="D4128" s="2"/>
    </row>
    <row r="4129" ht="12.75">
      <c r="D4129" s="2"/>
    </row>
    <row r="4130" ht="12.75">
      <c r="D4130" s="2"/>
    </row>
    <row r="4131" ht="12.75">
      <c r="D4131" s="2"/>
    </row>
    <row r="4132" ht="12.75">
      <c r="D4132" s="2"/>
    </row>
    <row r="4133" ht="12.75">
      <c r="D4133" s="2"/>
    </row>
    <row r="4134" ht="12.75">
      <c r="D4134" s="2"/>
    </row>
    <row r="4135" ht="12.75">
      <c r="D4135" s="2"/>
    </row>
    <row r="4136" ht="12.75">
      <c r="D4136" s="2"/>
    </row>
    <row r="4137" ht="12.75">
      <c r="D4137" s="2"/>
    </row>
    <row r="4138" ht="12.75">
      <c r="D4138" s="2"/>
    </row>
    <row r="4139" ht="12.75">
      <c r="D4139" s="2"/>
    </row>
    <row r="4140" ht="12.75">
      <c r="D4140" s="2"/>
    </row>
    <row r="4141" ht="12.75">
      <c r="D4141" s="2"/>
    </row>
    <row r="4142" ht="12.75">
      <c r="D4142" s="2"/>
    </row>
    <row r="4143" ht="12.75">
      <c r="D4143" s="2"/>
    </row>
    <row r="4144" ht="12.75">
      <c r="D4144" s="2"/>
    </row>
    <row r="4145" ht="12.75">
      <c r="D4145" s="2"/>
    </row>
    <row r="4146" ht="12.75">
      <c r="D4146" s="2"/>
    </row>
    <row r="4147" ht="12.75">
      <c r="D4147" s="2"/>
    </row>
    <row r="4148" ht="12.75">
      <c r="D4148" s="2"/>
    </row>
    <row r="4149" ht="12.75">
      <c r="D4149" s="2"/>
    </row>
    <row r="4150" ht="12.75">
      <c r="D4150" s="2"/>
    </row>
    <row r="4151" ht="12.75">
      <c r="D4151" s="2"/>
    </row>
    <row r="4152" ht="12.75">
      <c r="D4152" s="2"/>
    </row>
    <row r="4153" ht="12.75">
      <c r="D4153" s="2"/>
    </row>
    <row r="4154" ht="12.75">
      <c r="D4154" s="2"/>
    </row>
    <row r="4155" ht="12.75">
      <c r="D4155" s="2"/>
    </row>
    <row r="4156" ht="12.75">
      <c r="D4156" s="2"/>
    </row>
    <row r="4157" ht="12.75">
      <c r="D4157" s="2"/>
    </row>
    <row r="4158" ht="12.75">
      <c r="D4158" s="2"/>
    </row>
    <row r="4159" ht="12.75">
      <c r="D4159" s="2"/>
    </row>
    <row r="4160" ht="12.75">
      <c r="D4160" s="2"/>
    </row>
    <row r="4161" ht="12.75">
      <c r="D4161" s="2"/>
    </row>
    <row r="4162" ht="12.75">
      <c r="D4162" s="2"/>
    </row>
    <row r="4163" ht="12.75">
      <c r="D4163" s="2"/>
    </row>
    <row r="4164" ht="12.75">
      <c r="D4164" s="2"/>
    </row>
    <row r="4165" ht="12.75">
      <c r="D4165" s="2"/>
    </row>
    <row r="4166" ht="12.75">
      <c r="D4166" s="2"/>
    </row>
    <row r="4167" ht="12.75">
      <c r="D4167" s="2"/>
    </row>
    <row r="4168" ht="12.75">
      <c r="D4168" s="2"/>
    </row>
    <row r="4169" ht="12.75">
      <c r="D4169" s="2"/>
    </row>
    <row r="4170" ht="12.75">
      <c r="D4170" s="2"/>
    </row>
    <row r="4171" ht="12.75">
      <c r="D4171" s="2"/>
    </row>
    <row r="4172" ht="12.75">
      <c r="D4172" s="2"/>
    </row>
    <row r="4173" ht="12.75">
      <c r="D4173" s="2"/>
    </row>
    <row r="4174" ht="12.75">
      <c r="D4174" s="2"/>
    </row>
    <row r="4175" ht="12.75">
      <c r="D4175" s="2"/>
    </row>
    <row r="4176" ht="12.75">
      <c r="D4176" s="2"/>
    </row>
    <row r="4177" ht="12.75">
      <c r="D4177" s="2"/>
    </row>
    <row r="4178" ht="12.75">
      <c r="D4178" s="2"/>
    </row>
    <row r="4179" ht="12.75">
      <c r="D4179" s="2"/>
    </row>
    <row r="4180" ht="12.75">
      <c r="D4180" s="2"/>
    </row>
    <row r="4181" ht="12.75">
      <c r="D4181" s="2"/>
    </row>
    <row r="4182" ht="12.75">
      <c r="D4182" s="2"/>
    </row>
    <row r="4183" ht="12.75">
      <c r="D4183" s="2"/>
    </row>
    <row r="4184" ht="12.75">
      <c r="D4184" s="2"/>
    </row>
    <row r="4185" ht="12.75">
      <c r="D4185" s="2"/>
    </row>
    <row r="4186" ht="12.75">
      <c r="D4186" s="2"/>
    </row>
    <row r="4187" ht="12.75">
      <c r="D4187" s="2"/>
    </row>
    <row r="4188" ht="12.75">
      <c r="D4188" s="2"/>
    </row>
    <row r="4189" ht="12.75">
      <c r="D4189" s="2"/>
    </row>
    <row r="4190" ht="12.75">
      <c r="D4190" s="2"/>
    </row>
    <row r="4191" ht="12.75">
      <c r="D4191" s="2"/>
    </row>
    <row r="4192" ht="12.75">
      <c r="D4192" s="2"/>
    </row>
    <row r="4193" ht="12.75">
      <c r="D4193" s="2"/>
    </row>
    <row r="4194" ht="12.75">
      <c r="D4194" s="2"/>
    </row>
    <row r="4195" ht="12.75">
      <c r="D4195" s="2"/>
    </row>
    <row r="4196" ht="12.75">
      <c r="D4196" s="2"/>
    </row>
    <row r="4197" ht="12.75">
      <c r="D4197" s="2"/>
    </row>
    <row r="4198" ht="12.75">
      <c r="D4198" s="2"/>
    </row>
    <row r="4199" ht="12.75">
      <c r="D4199" s="2"/>
    </row>
    <row r="4200" ht="12.75">
      <c r="D4200" s="2"/>
    </row>
    <row r="4201" ht="12.75">
      <c r="D4201" s="2"/>
    </row>
    <row r="4202" ht="12.75">
      <c r="D4202" s="2"/>
    </row>
    <row r="4203" ht="12.75">
      <c r="D4203" s="2"/>
    </row>
    <row r="4204" ht="12.75">
      <c r="D4204" s="2"/>
    </row>
    <row r="4205" ht="12.75">
      <c r="D4205" s="2"/>
    </row>
    <row r="4206" ht="12.75">
      <c r="D4206" s="2"/>
    </row>
    <row r="4207" ht="12.75">
      <c r="D4207" s="2"/>
    </row>
    <row r="4208" ht="12.75">
      <c r="D4208" s="2"/>
    </row>
    <row r="4209" ht="12.75">
      <c r="D4209" s="2"/>
    </row>
    <row r="4210" ht="12.75">
      <c r="D4210" s="2"/>
    </row>
    <row r="4211" ht="12.75">
      <c r="D4211" s="2"/>
    </row>
    <row r="4212" ht="12.75">
      <c r="D4212" s="2"/>
    </row>
    <row r="4213" ht="12.75">
      <c r="D4213" s="2"/>
    </row>
    <row r="4214" ht="12.75">
      <c r="D4214" s="2"/>
    </row>
    <row r="4215" ht="12.75">
      <c r="D4215" s="2"/>
    </row>
    <row r="4216" ht="12.75">
      <c r="D4216" s="2"/>
    </row>
    <row r="4217" ht="12.75">
      <c r="D4217" s="2"/>
    </row>
    <row r="4218" ht="12.75">
      <c r="D4218" s="2"/>
    </row>
    <row r="4219" ht="12.75">
      <c r="D4219" s="2"/>
    </row>
    <row r="4220" ht="12.75">
      <c r="D4220" s="2"/>
    </row>
    <row r="4221" ht="12.75">
      <c r="D4221" s="2"/>
    </row>
    <row r="4222" ht="12.75">
      <c r="D4222" s="2"/>
    </row>
    <row r="4223" ht="12.75">
      <c r="D4223" s="2"/>
    </row>
    <row r="4224" ht="12.75">
      <c r="D4224" s="2"/>
    </row>
    <row r="4225" ht="12.75">
      <c r="D4225" s="2"/>
    </row>
    <row r="4226" ht="12.75">
      <c r="D4226" s="2"/>
    </row>
    <row r="4227" ht="12.75">
      <c r="D4227" s="2"/>
    </row>
    <row r="4228" ht="12.75">
      <c r="D4228" s="2"/>
    </row>
    <row r="4229" ht="12.75">
      <c r="D4229" s="2"/>
    </row>
    <row r="4230" ht="12.75">
      <c r="D4230" s="2"/>
    </row>
    <row r="4231" ht="12.75">
      <c r="D4231" s="2"/>
    </row>
    <row r="4232" ht="12.75">
      <c r="D4232" s="2"/>
    </row>
    <row r="4233" ht="12.75">
      <c r="D4233" s="2"/>
    </row>
    <row r="4234" ht="12.75">
      <c r="D4234" s="2"/>
    </row>
    <row r="4235" ht="12.75">
      <c r="D4235" s="2"/>
    </row>
    <row r="4236" ht="12.75">
      <c r="D4236" s="2"/>
    </row>
    <row r="4237" ht="12.75">
      <c r="D4237" s="2"/>
    </row>
    <row r="4238" ht="12.75">
      <c r="D4238" s="2"/>
    </row>
    <row r="4239" ht="12.75">
      <c r="D4239" s="2"/>
    </row>
    <row r="4240" ht="12.75">
      <c r="D4240" s="2"/>
    </row>
    <row r="4241" ht="12.75">
      <c r="D4241" s="2"/>
    </row>
    <row r="4242" ht="12.75">
      <c r="D4242" s="2"/>
    </row>
    <row r="4243" ht="12.75">
      <c r="D4243" s="2"/>
    </row>
    <row r="4244" ht="12.75">
      <c r="D4244" s="2"/>
    </row>
    <row r="4245" ht="12.75">
      <c r="D4245" s="2"/>
    </row>
    <row r="4246" ht="12.75">
      <c r="D4246" s="2"/>
    </row>
    <row r="4247" ht="12.75">
      <c r="D4247" s="2"/>
    </row>
    <row r="4248" ht="12.75">
      <c r="D4248" s="2"/>
    </row>
    <row r="4249" ht="12.75">
      <c r="D4249" s="2"/>
    </row>
    <row r="4250" ht="12.75">
      <c r="D4250" s="2"/>
    </row>
    <row r="4251" ht="12.75">
      <c r="D4251" s="2"/>
    </row>
    <row r="4252" ht="12.75">
      <c r="D4252" s="2"/>
    </row>
    <row r="4253" ht="12.75">
      <c r="D4253" s="2"/>
    </row>
    <row r="4254" ht="12.75">
      <c r="D4254" s="2"/>
    </row>
    <row r="4255" ht="12.75">
      <c r="D4255" s="2"/>
    </row>
    <row r="4256" ht="12.75">
      <c r="D4256" s="2"/>
    </row>
    <row r="4257" ht="12.75">
      <c r="D4257" s="2"/>
    </row>
    <row r="4258" ht="12.75">
      <c r="D4258" s="2"/>
    </row>
    <row r="4259" ht="12.75">
      <c r="D4259" s="2"/>
    </row>
    <row r="4260" ht="12.75">
      <c r="D4260" s="2"/>
    </row>
    <row r="4261" ht="12.75">
      <c r="D4261" s="2"/>
    </row>
    <row r="4262" ht="12.75">
      <c r="D4262" s="2"/>
    </row>
    <row r="4263" ht="12.75">
      <c r="D4263" s="2"/>
    </row>
    <row r="4264" ht="12.75">
      <c r="D4264" s="2"/>
    </row>
    <row r="4265" ht="12.75">
      <c r="D4265" s="2"/>
    </row>
    <row r="4266" ht="12.75">
      <c r="D4266" s="2"/>
    </row>
    <row r="4267" ht="12.75">
      <c r="D4267" s="2"/>
    </row>
    <row r="4268" ht="12.75">
      <c r="D4268" s="2"/>
    </row>
    <row r="4269" ht="12.75">
      <c r="D4269" s="2"/>
    </row>
    <row r="4270" ht="12.75">
      <c r="D4270" s="2"/>
    </row>
    <row r="4271" ht="12.75">
      <c r="D4271" s="2"/>
    </row>
    <row r="4272" ht="12.75">
      <c r="D4272" s="2"/>
    </row>
    <row r="4273" ht="12.75">
      <c r="D4273" s="2"/>
    </row>
    <row r="4274" ht="12.75">
      <c r="D4274" s="2"/>
    </row>
    <row r="4275" ht="12.75">
      <c r="D4275" s="2"/>
    </row>
    <row r="4276" ht="12.75">
      <c r="D4276" s="2"/>
    </row>
    <row r="4277" ht="12.75">
      <c r="D4277" s="2"/>
    </row>
    <row r="4278" ht="12.75">
      <c r="D4278" s="2"/>
    </row>
    <row r="4279" ht="12.75">
      <c r="D4279" s="2"/>
    </row>
    <row r="4280" ht="12.75">
      <c r="D4280" s="2"/>
    </row>
    <row r="4281" ht="12.75">
      <c r="D4281" s="2"/>
    </row>
    <row r="4282" ht="12.75">
      <c r="D4282" s="2"/>
    </row>
    <row r="4283" ht="12.75">
      <c r="D4283" s="2"/>
    </row>
    <row r="4284" ht="12.75">
      <c r="D4284" s="2"/>
    </row>
    <row r="4285" ht="12.75">
      <c r="D4285" s="2"/>
    </row>
    <row r="4286" ht="12.75">
      <c r="D4286" s="2"/>
    </row>
    <row r="4287" ht="12.75">
      <c r="D4287" s="2"/>
    </row>
    <row r="4288" ht="12.75">
      <c r="D4288" s="2"/>
    </row>
    <row r="4289" ht="12.75">
      <c r="D4289" s="2"/>
    </row>
    <row r="4290" ht="12.75">
      <c r="D4290" s="2"/>
    </row>
    <row r="4291" ht="12.75">
      <c r="D4291" s="2"/>
    </row>
    <row r="4292" ht="12.75">
      <c r="D4292" s="2"/>
    </row>
    <row r="4293" ht="12.75">
      <c r="D4293" s="2"/>
    </row>
    <row r="4294" ht="12.75">
      <c r="D4294" s="2"/>
    </row>
    <row r="4295" ht="12.75">
      <c r="D4295" s="2"/>
    </row>
    <row r="4296" ht="12.75">
      <c r="D4296" s="2"/>
    </row>
    <row r="4297" ht="12.75">
      <c r="D4297" s="2"/>
    </row>
    <row r="4298" ht="12.75">
      <c r="D4298" s="2"/>
    </row>
    <row r="4299" ht="12.75">
      <c r="D4299" s="2"/>
    </row>
    <row r="4300" ht="12.75">
      <c r="D4300" s="2"/>
    </row>
    <row r="4301" ht="12.75">
      <c r="D4301" s="2"/>
    </row>
    <row r="4302" ht="12.75">
      <c r="D4302" s="2"/>
    </row>
    <row r="4303" ht="12.75">
      <c r="D4303" s="2"/>
    </row>
    <row r="4304" ht="12.75">
      <c r="D4304" s="2"/>
    </row>
    <row r="4305" ht="12.75">
      <c r="D4305" s="2"/>
    </row>
    <row r="4306" ht="12.75">
      <c r="D4306" s="2"/>
    </row>
    <row r="4307" ht="12.75">
      <c r="D4307" s="2"/>
    </row>
    <row r="4308" ht="12.75">
      <c r="D4308" s="2"/>
    </row>
    <row r="4309" ht="12.75">
      <c r="D4309" s="2"/>
    </row>
    <row r="4310" ht="12.75">
      <c r="D4310" s="2"/>
    </row>
    <row r="4311" ht="12.75">
      <c r="D4311" s="2"/>
    </row>
    <row r="4312" ht="12.75">
      <c r="D4312" s="2"/>
    </row>
    <row r="4313" ht="12.75">
      <c r="D4313" s="2"/>
    </row>
    <row r="4314" ht="12.75">
      <c r="D4314" s="2"/>
    </row>
    <row r="4315" ht="12.75">
      <c r="D4315" s="2"/>
    </row>
    <row r="4316" ht="12.75">
      <c r="D4316" s="2"/>
    </row>
    <row r="4317" ht="12.75">
      <c r="D4317" s="2"/>
    </row>
    <row r="4318" ht="12.75">
      <c r="D4318" s="2"/>
    </row>
    <row r="4319" ht="12.75">
      <c r="D4319" s="2"/>
    </row>
    <row r="4320" ht="12.75">
      <c r="D4320" s="2"/>
    </row>
    <row r="4321" ht="12.75">
      <c r="D4321" s="2"/>
    </row>
    <row r="4322" ht="12.75">
      <c r="D4322" s="2"/>
    </row>
    <row r="4323" ht="12.75">
      <c r="D4323" s="2"/>
    </row>
    <row r="4324" ht="12.75">
      <c r="D4324" s="2"/>
    </row>
    <row r="4325" ht="12.75">
      <c r="D4325" s="2"/>
    </row>
    <row r="4326" ht="12.75">
      <c r="D4326" s="2"/>
    </row>
    <row r="4327" ht="12.75">
      <c r="D4327" s="2"/>
    </row>
    <row r="4328" ht="12.75">
      <c r="D4328" s="2"/>
    </row>
    <row r="4329" ht="12.75">
      <c r="D4329" s="2"/>
    </row>
    <row r="4330" ht="12.75">
      <c r="D4330" s="2"/>
    </row>
    <row r="4331" ht="12.75">
      <c r="D4331" s="2"/>
    </row>
    <row r="4332" ht="12.75">
      <c r="D4332" s="2"/>
    </row>
    <row r="4333" ht="12.75">
      <c r="D4333" s="2"/>
    </row>
    <row r="4334" ht="12.75">
      <c r="D4334" s="2"/>
    </row>
    <row r="4335" ht="12.75">
      <c r="D4335" s="2"/>
    </row>
    <row r="4336" ht="12.75">
      <c r="D4336" s="2"/>
    </row>
    <row r="4337" ht="12.75">
      <c r="D4337" s="2"/>
    </row>
    <row r="4338" ht="12.75">
      <c r="D4338" s="2"/>
    </row>
    <row r="4339" ht="12.75">
      <c r="D4339" s="2"/>
    </row>
    <row r="4340" ht="12.75">
      <c r="D4340" s="2"/>
    </row>
    <row r="4341" ht="12.75">
      <c r="D4341" s="2"/>
    </row>
    <row r="4342" ht="12.75">
      <c r="D4342" s="2"/>
    </row>
    <row r="4343" ht="12.75">
      <c r="D4343" s="2"/>
    </row>
    <row r="4344" ht="12.75">
      <c r="D4344" s="2"/>
    </row>
    <row r="4345" ht="12.75">
      <c r="D4345" s="2"/>
    </row>
    <row r="4346" ht="12.75">
      <c r="D4346" s="2"/>
    </row>
    <row r="4347" ht="12.75">
      <c r="D4347" s="2"/>
    </row>
    <row r="4348" ht="12.75">
      <c r="D4348" s="2"/>
    </row>
    <row r="4349" ht="12.75">
      <c r="D4349" s="2"/>
    </row>
    <row r="4350" ht="12.75">
      <c r="D4350" s="2"/>
    </row>
    <row r="4351" ht="12.75">
      <c r="D4351" s="2"/>
    </row>
    <row r="4352" ht="12.75">
      <c r="D4352" s="2"/>
    </row>
    <row r="4353" ht="12.75">
      <c r="D4353" s="2"/>
    </row>
    <row r="4354" ht="12.75">
      <c r="D4354" s="2"/>
    </row>
    <row r="4355" ht="12.75">
      <c r="D4355" s="2"/>
    </row>
    <row r="4356" ht="12.75">
      <c r="D4356" s="2"/>
    </row>
    <row r="4357" ht="12.75">
      <c r="D4357" s="2"/>
    </row>
    <row r="4358" ht="12.75">
      <c r="D4358" s="2"/>
    </row>
    <row r="4359" ht="12.75">
      <c r="D4359" s="2"/>
    </row>
    <row r="4360" ht="12.75">
      <c r="D4360" s="2"/>
    </row>
    <row r="4361" ht="12.75">
      <c r="D4361" s="2"/>
    </row>
    <row r="4362" ht="12.75">
      <c r="D4362" s="2"/>
    </row>
    <row r="4363" ht="12.75">
      <c r="D4363" s="2"/>
    </row>
    <row r="4364" ht="12.75">
      <c r="D4364" s="2"/>
    </row>
    <row r="4365" ht="12.75">
      <c r="D4365" s="2"/>
    </row>
    <row r="4366" ht="12.75">
      <c r="D4366" s="2"/>
    </row>
    <row r="4367" ht="12.75">
      <c r="D4367" s="2"/>
    </row>
    <row r="4368" ht="12.75">
      <c r="D4368" s="2"/>
    </row>
    <row r="4369" ht="12.75">
      <c r="D4369" s="2"/>
    </row>
    <row r="4370" ht="12.75">
      <c r="D4370" s="2"/>
    </row>
    <row r="4371" ht="12.75">
      <c r="D4371" s="2"/>
    </row>
    <row r="4372" ht="12.75">
      <c r="D4372" s="2"/>
    </row>
    <row r="4373" ht="12.75">
      <c r="D4373" s="2"/>
    </row>
    <row r="4374" ht="12.75">
      <c r="D4374" s="2"/>
    </row>
    <row r="4375" ht="12.75">
      <c r="D4375" s="2"/>
    </row>
    <row r="4376" ht="12.75">
      <c r="D4376" s="2"/>
    </row>
    <row r="4377" ht="12.75">
      <c r="D4377" s="2"/>
    </row>
    <row r="4378" ht="12.75">
      <c r="D4378" s="2"/>
    </row>
    <row r="4379" ht="12.75">
      <c r="D4379" s="2"/>
    </row>
    <row r="4380" ht="12.75">
      <c r="D4380" s="2"/>
    </row>
    <row r="4381" ht="12.75">
      <c r="D4381" s="2"/>
    </row>
    <row r="4382" ht="12.75">
      <c r="D4382" s="2"/>
    </row>
    <row r="4383" ht="12.75">
      <c r="D4383" s="2"/>
    </row>
    <row r="4384" ht="12.75">
      <c r="D4384" s="2"/>
    </row>
    <row r="4385" ht="12.75">
      <c r="D4385" s="2"/>
    </row>
    <row r="4386" ht="12.75">
      <c r="D4386" s="2"/>
    </row>
    <row r="4387" ht="12.75">
      <c r="D4387" s="2"/>
    </row>
    <row r="4388" ht="12.75">
      <c r="D4388" s="2"/>
    </row>
    <row r="4389" ht="12.75">
      <c r="D4389" s="2"/>
    </row>
    <row r="4390" ht="12.75">
      <c r="D4390" s="2"/>
    </row>
    <row r="4391" ht="12.75">
      <c r="D4391" s="2"/>
    </row>
    <row r="4392" ht="12.75">
      <c r="D4392" s="2"/>
    </row>
    <row r="4393" ht="12.75">
      <c r="D4393" s="2"/>
    </row>
    <row r="4394" ht="12.75">
      <c r="D4394" s="2"/>
    </row>
    <row r="4395" ht="12.75">
      <c r="D4395" s="2"/>
    </row>
    <row r="4396" ht="12.75">
      <c r="D4396" s="2"/>
    </row>
    <row r="4397" ht="12.75">
      <c r="D4397" s="2"/>
    </row>
    <row r="4398" ht="12.75">
      <c r="D4398" s="2"/>
    </row>
    <row r="4399" ht="12.75">
      <c r="D4399" s="2"/>
    </row>
    <row r="4400" ht="12.75">
      <c r="D4400" s="2"/>
    </row>
    <row r="4401" ht="12.75">
      <c r="D4401" s="2"/>
    </row>
    <row r="4402" ht="12.75">
      <c r="D4402" s="2"/>
    </row>
    <row r="4403" ht="12.75">
      <c r="D4403" s="2"/>
    </row>
    <row r="4404" ht="12.75">
      <c r="D4404" s="2"/>
    </row>
    <row r="4405" ht="12.75">
      <c r="D4405" s="2"/>
    </row>
    <row r="4406" ht="12.75">
      <c r="D4406" s="2"/>
    </row>
    <row r="4407" ht="12.75">
      <c r="D4407" s="2"/>
    </row>
    <row r="4408" ht="12.75">
      <c r="D4408" s="2"/>
    </row>
    <row r="4409" ht="12.75">
      <c r="D4409" s="2"/>
    </row>
    <row r="4410" ht="12.75">
      <c r="D4410" s="2"/>
    </row>
    <row r="4411" ht="12.75">
      <c r="D4411" s="2"/>
    </row>
    <row r="4412" ht="12.75">
      <c r="D4412" s="2"/>
    </row>
    <row r="4413" ht="12.75">
      <c r="D4413" s="2"/>
    </row>
    <row r="4414" ht="12.75">
      <c r="D4414" s="2"/>
    </row>
    <row r="4415" ht="12.75">
      <c r="D4415" s="2"/>
    </row>
    <row r="4416" ht="12.75">
      <c r="D4416" s="2"/>
    </row>
    <row r="4417" ht="12.75">
      <c r="D4417" s="2"/>
    </row>
    <row r="4418" ht="12.75">
      <c r="D4418" s="2"/>
    </row>
    <row r="4419" ht="12.75">
      <c r="D4419" s="2"/>
    </row>
    <row r="4420" ht="12.75">
      <c r="D4420" s="2"/>
    </row>
    <row r="4421" ht="12.75">
      <c r="D4421" s="2"/>
    </row>
    <row r="4422" ht="12.75">
      <c r="D4422" s="2"/>
    </row>
    <row r="4423" ht="12.75">
      <c r="D4423" s="2"/>
    </row>
    <row r="4424" ht="12.75">
      <c r="D4424" s="2"/>
    </row>
    <row r="4425" ht="12.75">
      <c r="D4425" s="2"/>
    </row>
    <row r="4426" ht="12.75">
      <c r="D4426" s="2"/>
    </row>
    <row r="4427" ht="12.75">
      <c r="D4427" s="2"/>
    </row>
    <row r="4428" ht="12.75">
      <c r="D4428" s="2"/>
    </row>
    <row r="4429" ht="12.75">
      <c r="D4429" s="2"/>
    </row>
    <row r="4430" ht="12.75">
      <c r="D4430" s="2"/>
    </row>
    <row r="4431" ht="12.75">
      <c r="D4431" s="2"/>
    </row>
    <row r="4432" ht="12.75">
      <c r="D4432" s="2"/>
    </row>
    <row r="4433" ht="12.75">
      <c r="D4433" s="2"/>
    </row>
    <row r="4434" ht="12.75">
      <c r="D4434" s="2"/>
    </row>
    <row r="4435" ht="12.75">
      <c r="D4435" s="2"/>
    </row>
    <row r="4436" ht="12.75">
      <c r="D4436" s="2"/>
    </row>
    <row r="4437" ht="12.75">
      <c r="D4437" s="2"/>
    </row>
    <row r="4438" ht="12.75">
      <c r="D4438" s="2"/>
    </row>
    <row r="4439" ht="12.75">
      <c r="D4439" s="2"/>
    </row>
    <row r="4440" ht="12.75">
      <c r="D4440" s="2"/>
    </row>
    <row r="4441" ht="12.75">
      <c r="D4441" s="2"/>
    </row>
    <row r="4442" ht="12.75">
      <c r="D4442" s="2"/>
    </row>
    <row r="4443" ht="12.75">
      <c r="D4443" s="2"/>
    </row>
    <row r="4444" ht="12.75">
      <c r="D4444" s="2"/>
    </row>
    <row r="4445" ht="12.75">
      <c r="D4445" s="2"/>
    </row>
    <row r="4446" ht="12.75">
      <c r="D4446" s="2"/>
    </row>
    <row r="4447" ht="12.75">
      <c r="D4447" s="2"/>
    </row>
    <row r="4448" ht="12.75">
      <c r="D4448" s="2"/>
    </row>
    <row r="4449" ht="12.75">
      <c r="D4449" s="2"/>
    </row>
    <row r="4450" ht="12.75">
      <c r="D4450" s="2"/>
    </row>
    <row r="4451" ht="12.75">
      <c r="D4451" s="2"/>
    </row>
    <row r="4452" ht="12.75">
      <c r="D4452" s="2"/>
    </row>
    <row r="4453" ht="12.75">
      <c r="D4453" s="2"/>
    </row>
    <row r="4454" ht="12.75">
      <c r="D4454" s="2"/>
    </row>
    <row r="4455" ht="12.75">
      <c r="D4455" s="2"/>
    </row>
    <row r="4456" ht="12.75">
      <c r="D4456" s="2"/>
    </row>
    <row r="4457" ht="12.75">
      <c r="D4457" s="2"/>
    </row>
    <row r="4458" ht="12.75">
      <c r="D4458" s="2"/>
    </row>
    <row r="4459" ht="12.75">
      <c r="D4459" s="2"/>
    </row>
    <row r="4460" ht="12.75">
      <c r="D4460" s="2"/>
    </row>
    <row r="4461" ht="12.75">
      <c r="D4461" s="2"/>
    </row>
    <row r="4462" ht="12.75">
      <c r="D4462" s="2"/>
    </row>
    <row r="4463" ht="12.75">
      <c r="D4463" s="2"/>
    </row>
    <row r="4464" ht="12.75">
      <c r="D4464" s="2"/>
    </row>
    <row r="4465" ht="12.75">
      <c r="D4465" s="2"/>
    </row>
    <row r="4466" ht="12.75">
      <c r="D4466" s="2"/>
    </row>
    <row r="4467" ht="12.75">
      <c r="D4467" s="2"/>
    </row>
    <row r="4468" ht="12.75">
      <c r="D4468" s="2"/>
    </row>
    <row r="4469" ht="12.75">
      <c r="D4469" s="2"/>
    </row>
    <row r="4470" ht="12.75">
      <c r="D4470" s="2"/>
    </row>
    <row r="4471" ht="12.75">
      <c r="D4471" s="2"/>
    </row>
    <row r="4472" ht="12.75">
      <c r="D4472" s="2"/>
    </row>
    <row r="4473" ht="12.75">
      <c r="D4473" s="2"/>
    </row>
    <row r="4474" ht="12.75">
      <c r="D4474" s="2"/>
    </row>
    <row r="4475" ht="12.75">
      <c r="D4475" s="2"/>
    </row>
    <row r="4476" ht="12.75">
      <c r="D4476" s="2"/>
    </row>
    <row r="4477" ht="12.75">
      <c r="D4477" s="2"/>
    </row>
    <row r="4478" ht="12.75">
      <c r="D4478" s="2"/>
    </row>
    <row r="4479" ht="12.75">
      <c r="D4479" s="2"/>
    </row>
    <row r="4480" ht="12.75">
      <c r="D4480" s="2"/>
    </row>
    <row r="4481" ht="12.75">
      <c r="D4481" s="2"/>
    </row>
    <row r="4482" ht="12.75">
      <c r="D4482" s="2"/>
    </row>
    <row r="4483" ht="12.75">
      <c r="D4483" s="2"/>
    </row>
    <row r="4484" ht="12.75">
      <c r="D4484" s="2"/>
    </row>
    <row r="4485" ht="12.75">
      <c r="D4485" s="2"/>
    </row>
    <row r="4486" ht="12.75">
      <c r="D4486" s="2"/>
    </row>
    <row r="4487" ht="12.75">
      <c r="D4487" s="2"/>
    </row>
    <row r="4488" ht="12.75">
      <c r="D4488" s="2"/>
    </row>
    <row r="4489" ht="12.75">
      <c r="D4489" s="2"/>
    </row>
    <row r="4490" ht="12.75">
      <c r="D4490" s="2"/>
    </row>
    <row r="4491" ht="12.75">
      <c r="D4491" s="2"/>
    </row>
    <row r="4492" ht="12.75">
      <c r="D4492" s="2"/>
    </row>
    <row r="4493" ht="12.75">
      <c r="D4493" s="2"/>
    </row>
    <row r="4494" ht="12.75">
      <c r="D4494" s="2"/>
    </row>
    <row r="4495" ht="12.75">
      <c r="D4495" s="2"/>
    </row>
    <row r="4496" ht="12.75">
      <c r="D4496" s="2"/>
    </row>
    <row r="4497" ht="12.75">
      <c r="D4497" s="2"/>
    </row>
    <row r="4498" ht="12.75">
      <c r="D4498" s="2"/>
    </row>
    <row r="4499" ht="12.75">
      <c r="D4499" s="2"/>
    </row>
    <row r="4500" ht="12.75">
      <c r="D4500" s="2"/>
    </row>
    <row r="4501" ht="12.75">
      <c r="D4501" s="2"/>
    </row>
    <row r="4502" ht="12.75">
      <c r="D4502" s="2"/>
    </row>
    <row r="4503" ht="12.75">
      <c r="D4503" s="2"/>
    </row>
    <row r="4504" ht="12.75">
      <c r="D4504" s="2"/>
    </row>
    <row r="4505" ht="12.75">
      <c r="D4505" s="2"/>
    </row>
    <row r="4506" ht="12.75">
      <c r="D4506" s="2"/>
    </row>
    <row r="4507" ht="12.75">
      <c r="D4507" s="2"/>
    </row>
    <row r="4508" ht="12.75">
      <c r="D4508" s="2"/>
    </row>
    <row r="4509" ht="12.75">
      <c r="D4509" s="2"/>
    </row>
    <row r="4510" ht="12.75">
      <c r="D4510" s="2"/>
    </row>
    <row r="4511" ht="12.75">
      <c r="D4511" s="2"/>
    </row>
    <row r="4512" ht="12.75">
      <c r="D4512" s="2"/>
    </row>
    <row r="4513" ht="12.75">
      <c r="D4513" s="2"/>
    </row>
    <row r="4514" ht="12.75">
      <c r="D4514" s="2"/>
    </row>
    <row r="4515" ht="12.75">
      <c r="D4515" s="2"/>
    </row>
    <row r="4516" ht="12.75">
      <c r="D4516" s="2"/>
    </row>
    <row r="4517" ht="12.75">
      <c r="D4517" s="2"/>
    </row>
    <row r="4518" ht="12.75">
      <c r="D4518" s="2"/>
    </row>
    <row r="4519" ht="12.75">
      <c r="D4519" s="2"/>
    </row>
    <row r="4520" ht="12.75">
      <c r="D4520" s="2"/>
    </row>
    <row r="4521" ht="12.75">
      <c r="D4521" s="2"/>
    </row>
    <row r="4522" ht="12.75">
      <c r="D4522" s="2"/>
    </row>
    <row r="4523" ht="12.75">
      <c r="D4523" s="2"/>
    </row>
    <row r="4524" ht="12.75">
      <c r="D4524" s="2"/>
    </row>
    <row r="4525" ht="12.75">
      <c r="D4525" s="2"/>
    </row>
    <row r="4526" ht="12.75">
      <c r="D4526" s="2"/>
    </row>
    <row r="4527" ht="12.75">
      <c r="D4527" s="2"/>
    </row>
    <row r="4528" ht="12.75">
      <c r="D4528" s="2"/>
    </row>
    <row r="4529" ht="12.75">
      <c r="D4529" s="2"/>
    </row>
    <row r="4530" ht="12.75">
      <c r="D4530" s="2"/>
    </row>
    <row r="4531" ht="12.75">
      <c r="D4531" s="2"/>
    </row>
    <row r="4532" ht="12.75">
      <c r="D4532" s="2"/>
    </row>
    <row r="4533" ht="12.75">
      <c r="D4533" s="2"/>
    </row>
    <row r="4534" ht="12.75">
      <c r="D4534" s="2"/>
    </row>
    <row r="4535" ht="12.75">
      <c r="D4535" s="2"/>
    </row>
    <row r="4536" ht="12.75">
      <c r="D4536" s="2"/>
    </row>
    <row r="4537" ht="12.75">
      <c r="D4537" s="2"/>
    </row>
    <row r="4538" ht="12.75">
      <c r="D4538" s="2"/>
    </row>
    <row r="4539" ht="12.75">
      <c r="D4539" s="2"/>
    </row>
    <row r="4540" ht="12.75">
      <c r="D4540" s="2"/>
    </row>
    <row r="4541" ht="12.75">
      <c r="D4541" s="2"/>
    </row>
    <row r="4542" ht="12.75">
      <c r="D4542" s="2"/>
    </row>
    <row r="4543" ht="12.75">
      <c r="D4543" s="2"/>
    </row>
    <row r="4544" ht="12.75">
      <c r="D4544" s="2"/>
    </row>
    <row r="4545" ht="12.75">
      <c r="D4545" s="2"/>
    </row>
    <row r="4546" ht="12.75">
      <c r="D4546" s="2"/>
    </row>
    <row r="4547" ht="12.75">
      <c r="D4547" s="2"/>
    </row>
    <row r="4548" ht="12.75">
      <c r="D4548" s="2"/>
    </row>
    <row r="4549" ht="12.75">
      <c r="D4549" s="2"/>
    </row>
    <row r="4550" ht="12.75">
      <c r="D4550" s="2"/>
    </row>
    <row r="4551" ht="12.75">
      <c r="D4551" s="2"/>
    </row>
    <row r="4552" ht="12.75">
      <c r="D4552" s="2"/>
    </row>
    <row r="4553" ht="12.75">
      <c r="D4553" s="2"/>
    </row>
    <row r="4554" ht="12.75">
      <c r="D4554" s="2"/>
    </row>
    <row r="4555" ht="12.75">
      <c r="D4555" s="2"/>
    </row>
    <row r="4556" ht="12.75">
      <c r="D4556" s="2"/>
    </row>
    <row r="4557" ht="12.75">
      <c r="D4557" s="2"/>
    </row>
    <row r="4558" ht="12.75">
      <c r="D4558" s="2"/>
    </row>
    <row r="4559" ht="12.75">
      <c r="D4559" s="2"/>
    </row>
    <row r="4560" ht="12.75">
      <c r="D4560" s="2"/>
    </row>
    <row r="4561" ht="12.75">
      <c r="D4561" s="2"/>
    </row>
    <row r="4562" ht="12.75">
      <c r="D4562" s="2"/>
    </row>
    <row r="4563" ht="12.75">
      <c r="D4563" s="2"/>
    </row>
    <row r="4564" ht="12.75">
      <c r="D4564" s="2"/>
    </row>
    <row r="4565" ht="12.75">
      <c r="D4565" s="2"/>
    </row>
    <row r="4566" ht="12.75">
      <c r="D4566" s="2"/>
    </row>
    <row r="4567" ht="12.75">
      <c r="D4567" s="2"/>
    </row>
    <row r="4568" ht="12.75">
      <c r="D4568" s="2"/>
    </row>
    <row r="4569" ht="12.75">
      <c r="D4569" s="2"/>
    </row>
    <row r="4570" ht="12.75">
      <c r="D4570" s="2"/>
    </row>
    <row r="4571" ht="12.75">
      <c r="D4571" s="2"/>
    </row>
    <row r="4572" ht="12.75">
      <c r="D4572" s="2"/>
    </row>
    <row r="4573" ht="12.75">
      <c r="D4573" s="2"/>
    </row>
    <row r="4574" ht="12.75">
      <c r="D4574" s="2"/>
    </row>
    <row r="4575" ht="12.75">
      <c r="D4575" s="2"/>
    </row>
    <row r="4576" ht="12.75">
      <c r="D4576" s="2"/>
    </row>
    <row r="4577" ht="12.75">
      <c r="D4577" s="2"/>
    </row>
    <row r="4578" ht="12.75">
      <c r="D4578" s="2"/>
    </row>
    <row r="4579" ht="12.75">
      <c r="D4579" s="2"/>
    </row>
    <row r="4580" ht="12.75">
      <c r="D4580" s="2"/>
    </row>
    <row r="4581" ht="12.75">
      <c r="D4581" s="2"/>
    </row>
    <row r="4582" ht="12.75">
      <c r="D4582" s="2"/>
    </row>
    <row r="4583" ht="12.75">
      <c r="D4583" s="2"/>
    </row>
    <row r="4584" ht="12.75">
      <c r="D4584" s="2"/>
    </row>
    <row r="4585" ht="12.75">
      <c r="D4585" s="2"/>
    </row>
    <row r="4586" ht="12.75">
      <c r="D4586" s="2"/>
    </row>
    <row r="4587" ht="12.75">
      <c r="D4587" s="2"/>
    </row>
    <row r="4588" ht="12.75">
      <c r="D4588" s="2"/>
    </row>
    <row r="4589" ht="12.75">
      <c r="D4589" s="2"/>
    </row>
    <row r="4590" ht="12.75">
      <c r="D4590" s="2"/>
    </row>
    <row r="4591" ht="12.75">
      <c r="D4591" s="2"/>
    </row>
    <row r="4592" ht="12.75">
      <c r="D4592" s="2"/>
    </row>
    <row r="4593" ht="12.75">
      <c r="D4593" s="2"/>
    </row>
    <row r="4594" ht="12.75">
      <c r="D4594" s="2"/>
    </row>
    <row r="4595" ht="12.75">
      <c r="D4595" s="2"/>
    </row>
    <row r="4596" ht="12.75">
      <c r="D4596" s="2"/>
    </row>
    <row r="4597" ht="12.75">
      <c r="D4597" s="2"/>
    </row>
    <row r="4598" ht="12.75">
      <c r="D4598" s="2"/>
    </row>
    <row r="4599" ht="12.75">
      <c r="D4599" s="2"/>
    </row>
    <row r="4600" ht="12.75">
      <c r="D4600" s="2"/>
    </row>
    <row r="4601" ht="12.75">
      <c r="D4601" s="2"/>
    </row>
    <row r="4602" ht="12.75">
      <c r="D4602" s="2"/>
    </row>
    <row r="4603" ht="12.75">
      <c r="D4603" s="2"/>
    </row>
    <row r="4604" ht="12.75">
      <c r="D4604" s="2"/>
    </row>
    <row r="4605" ht="12.75">
      <c r="D4605" s="2"/>
    </row>
    <row r="4606" ht="12.75">
      <c r="D4606" s="2"/>
    </row>
    <row r="4607" ht="12.75">
      <c r="D4607" s="2"/>
    </row>
    <row r="4608" ht="12.75">
      <c r="D4608" s="2"/>
    </row>
    <row r="4609" ht="12.75">
      <c r="D4609" s="2"/>
    </row>
    <row r="4610" ht="12.75">
      <c r="D4610" s="2"/>
    </row>
    <row r="4611" ht="12.75">
      <c r="D4611" s="2"/>
    </row>
    <row r="4612" ht="12.75">
      <c r="D4612" s="2"/>
    </row>
    <row r="4613" ht="12.75">
      <c r="D4613" s="2"/>
    </row>
    <row r="4614" ht="12.75">
      <c r="D4614" s="2"/>
    </row>
    <row r="4615" ht="12.75">
      <c r="D4615" s="2"/>
    </row>
    <row r="4616" ht="12.75">
      <c r="D4616" s="2"/>
    </row>
    <row r="4617" ht="12.75">
      <c r="D4617" s="2"/>
    </row>
    <row r="4618" ht="12.75">
      <c r="D4618" s="2"/>
    </row>
    <row r="4619" ht="12.75">
      <c r="D4619" s="2"/>
    </row>
    <row r="4620" ht="12.75">
      <c r="D4620" s="2"/>
    </row>
    <row r="4621" ht="12.75">
      <c r="D4621" s="2"/>
    </row>
    <row r="4622" ht="12.75">
      <c r="D4622" s="2"/>
    </row>
    <row r="4623" ht="12.75">
      <c r="D4623" s="2"/>
    </row>
    <row r="4624" ht="12.75">
      <c r="D4624" s="2"/>
    </row>
    <row r="4625" ht="12.75">
      <c r="D4625" s="2"/>
    </row>
    <row r="4626" ht="12.75">
      <c r="D4626" s="2"/>
    </row>
    <row r="4627" ht="12.75">
      <c r="D4627" s="2"/>
    </row>
    <row r="4628" ht="12.75">
      <c r="D4628" s="2"/>
    </row>
    <row r="4629" ht="12.75">
      <c r="D4629" s="2"/>
    </row>
    <row r="4630" ht="12.75">
      <c r="D4630" s="2"/>
    </row>
    <row r="4631" ht="12.75">
      <c r="D4631" s="2"/>
    </row>
    <row r="4632" ht="12.75">
      <c r="D4632" s="2"/>
    </row>
    <row r="4633" ht="12.75">
      <c r="D4633" s="2"/>
    </row>
    <row r="4634" ht="12.75">
      <c r="D4634" s="2"/>
    </row>
    <row r="4635" ht="12.75">
      <c r="D4635" s="2"/>
    </row>
    <row r="4636" ht="12.75">
      <c r="D4636" s="2"/>
    </row>
    <row r="4637" ht="12.75">
      <c r="D4637" s="2"/>
    </row>
    <row r="4638" ht="12.75">
      <c r="D4638" s="2"/>
    </row>
    <row r="4639" ht="12.75">
      <c r="D4639" s="2"/>
    </row>
    <row r="4640" ht="12.75">
      <c r="D4640" s="2"/>
    </row>
    <row r="4641" ht="12.75">
      <c r="D4641" s="2"/>
    </row>
    <row r="4642" ht="12.75">
      <c r="D4642" s="2"/>
    </row>
    <row r="4643" ht="12.75">
      <c r="D4643" s="2"/>
    </row>
    <row r="4644" ht="12.75">
      <c r="D4644" s="2"/>
    </row>
    <row r="4645" ht="12.75">
      <c r="D4645" s="2"/>
    </row>
    <row r="4646" ht="12.75">
      <c r="D4646" s="2"/>
    </row>
    <row r="4647" ht="12.75">
      <c r="D4647" s="2"/>
    </row>
    <row r="4648" ht="12.75">
      <c r="D4648" s="2"/>
    </row>
    <row r="4649" ht="12.75">
      <c r="D4649" s="2"/>
    </row>
    <row r="4650" ht="12.75">
      <c r="D4650" s="2"/>
    </row>
    <row r="4651" ht="12.75">
      <c r="D4651" s="2"/>
    </row>
    <row r="4652" ht="12.75">
      <c r="D4652" s="2"/>
    </row>
    <row r="4653" ht="12.75">
      <c r="D4653" s="2"/>
    </row>
    <row r="4654" ht="12.75">
      <c r="D4654" s="2"/>
    </row>
    <row r="4655" ht="12.75">
      <c r="D4655" s="2"/>
    </row>
    <row r="4656" ht="12.75">
      <c r="D4656" s="2"/>
    </row>
    <row r="4657" ht="12.75">
      <c r="D4657" s="2"/>
    </row>
    <row r="4658" ht="12.75">
      <c r="D4658" s="2"/>
    </row>
    <row r="4659" ht="12.75">
      <c r="D4659" s="2"/>
    </row>
    <row r="4660" ht="12.75">
      <c r="D4660" s="2"/>
    </row>
    <row r="4661" ht="12.75">
      <c r="D4661" s="2"/>
    </row>
    <row r="4662" ht="12.75">
      <c r="D4662" s="2"/>
    </row>
    <row r="4663" ht="12.75">
      <c r="D4663" s="2"/>
    </row>
    <row r="4664" ht="12.75">
      <c r="D4664" s="2"/>
    </row>
    <row r="4665" ht="12.75">
      <c r="D4665" s="2"/>
    </row>
    <row r="4666" ht="12.75">
      <c r="D4666" s="2"/>
    </row>
    <row r="4667" ht="12.75">
      <c r="D4667" s="2"/>
    </row>
    <row r="4668" ht="12.75">
      <c r="D4668" s="2"/>
    </row>
    <row r="4669" ht="12.75">
      <c r="D4669" s="2"/>
    </row>
    <row r="4670" ht="12.75">
      <c r="D4670" s="2"/>
    </row>
    <row r="4671" ht="12.75">
      <c r="D4671" s="2"/>
    </row>
    <row r="4672" ht="12.75">
      <c r="D4672" s="2"/>
    </row>
    <row r="4673" ht="12.75">
      <c r="D4673" s="2"/>
    </row>
    <row r="4674" ht="12.75">
      <c r="D4674" s="2"/>
    </row>
    <row r="4675" ht="12.75">
      <c r="D4675" s="2"/>
    </row>
    <row r="4676" ht="12.75">
      <c r="D4676" s="2"/>
    </row>
    <row r="4677" ht="12.75">
      <c r="D4677" s="2"/>
    </row>
    <row r="4678" ht="12.75">
      <c r="D4678" s="2"/>
    </row>
    <row r="4679" ht="12.75">
      <c r="D4679" s="2"/>
    </row>
    <row r="4680" ht="12.75">
      <c r="D4680" s="2"/>
    </row>
    <row r="4681" ht="12.75">
      <c r="D4681" s="2"/>
    </row>
    <row r="4682" ht="12.75">
      <c r="D4682" s="2"/>
    </row>
    <row r="4683" ht="12.75">
      <c r="D4683" s="2"/>
    </row>
    <row r="4684" ht="12.75">
      <c r="D4684" s="2"/>
    </row>
    <row r="4685" ht="12.75">
      <c r="D4685" s="2"/>
    </row>
    <row r="4686" ht="12.75">
      <c r="D4686" s="2"/>
    </row>
    <row r="4687" ht="12.75">
      <c r="D4687" s="2"/>
    </row>
    <row r="4688" ht="12.75">
      <c r="D4688" s="2"/>
    </row>
    <row r="4689" ht="12.75">
      <c r="D4689" s="2"/>
    </row>
    <row r="4690" ht="12.75">
      <c r="D4690" s="2"/>
    </row>
    <row r="4691" ht="12.75">
      <c r="D4691" s="2"/>
    </row>
    <row r="4692" ht="12.75">
      <c r="D4692" s="2"/>
    </row>
    <row r="4693" ht="12.75">
      <c r="D4693" s="2"/>
    </row>
    <row r="4694" ht="12.75">
      <c r="D4694" s="2"/>
    </row>
    <row r="4695" ht="12.75">
      <c r="D4695" s="2"/>
    </row>
    <row r="4696" ht="12.75">
      <c r="D4696" s="2"/>
    </row>
    <row r="4697" ht="12.75">
      <c r="D4697" s="2"/>
    </row>
    <row r="4698" ht="12.75">
      <c r="D4698" s="2"/>
    </row>
    <row r="4699" ht="12.75">
      <c r="D4699" s="2"/>
    </row>
    <row r="4700" ht="12.75">
      <c r="D4700" s="2"/>
    </row>
    <row r="4701" ht="12.75">
      <c r="D4701" s="2"/>
    </row>
    <row r="4702" ht="12.75">
      <c r="D4702" s="2"/>
    </row>
    <row r="4703" ht="12.75">
      <c r="D4703" s="2"/>
    </row>
    <row r="4704" ht="12.75">
      <c r="D4704" s="2"/>
    </row>
    <row r="4705" ht="12.75">
      <c r="D4705" s="2"/>
    </row>
    <row r="4706" ht="12.75">
      <c r="D4706" s="2"/>
    </row>
    <row r="4707" ht="12.75">
      <c r="D4707" s="2"/>
    </row>
    <row r="4708" ht="12.75">
      <c r="D4708" s="2"/>
    </row>
    <row r="4709" ht="12.75">
      <c r="D4709" s="2"/>
    </row>
    <row r="4710" ht="12.75">
      <c r="D4710" s="2"/>
    </row>
    <row r="4711" ht="12.75">
      <c r="D4711" s="2"/>
    </row>
    <row r="4712" ht="12.75">
      <c r="D4712" s="2"/>
    </row>
    <row r="4713" ht="12.75">
      <c r="D4713" s="2"/>
    </row>
    <row r="4714" ht="12.75">
      <c r="D4714" s="2"/>
    </row>
    <row r="4715" ht="12.75">
      <c r="D4715" s="2"/>
    </row>
    <row r="4716" ht="12.75">
      <c r="D4716" s="2"/>
    </row>
    <row r="4717" ht="12.75">
      <c r="D4717" s="2"/>
    </row>
    <row r="4718" ht="12.75">
      <c r="D4718" s="2"/>
    </row>
    <row r="4719" ht="12.75">
      <c r="D4719" s="2"/>
    </row>
    <row r="4720" ht="12.75">
      <c r="D4720" s="2"/>
    </row>
    <row r="4721" ht="12.75">
      <c r="D4721" s="2"/>
    </row>
    <row r="4722" ht="12.75">
      <c r="D4722" s="2"/>
    </row>
    <row r="4723" ht="12.75">
      <c r="D4723" s="2"/>
    </row>
    <row r="4724" ht="12.75">
      <c r="D4724" s="2"/>
    </row>
    <row r="4725" ht="12.75">
      <c r="D4725" s="2"/>
    </row>
    <row r="4726" ht="12.75">
      <c r="D4726" s="2"/>
    </row>
    <row r="4727" ht="12.75">
      <c r="D4727" s="2"/>
    </row>
    <row r="4728" ht="12.75">
      <c r="D4728" s="2"/>
    </row>
    <row r="4729" ht="12.75">
      <c r="D4729" s="2"/>
    </row>
    <row r="4730" ht="12.75">
      <c r="D4730" s="2"/>
    </row>
    <row r="4731" ht="12.75">
      <c r="D4731" s="2"/>
    </row>
    <row r="4732" ht="12.75">
      <c r="D4732" s="2"/>
    </row>
    <row r="4733" ht="12.75">
      <c r="D4733" s="2"/>
    </row>
    <row r="4734" ht="12.75">
      <c r="D4734" s="2"/>
    </row>
    <row r="4735" ht="12.75">
      <c r="D4735" s="2"/>
    </row>
    <row r="4736" ht="12.75">
      <c r="D4736" s="2"/>
    </row>
    <row r="4737" ht="12.75">
      <c r="D4737" s="2"/>
    </row>
    <row r="4738" ht="12.75">
      <c r="D4738" s="2"/>
    </row>
    <row r="4739" ht="12.75">
      <c r="D4739" s="2"/>
    </row>
    <row r="4740" ht="12.75">
      <c r="D4740" s="2"/>
    </row>
    <row r="4741" ht="12.75">
      <c r="D4741" s="2"/>
    </row>
    <row r="4742" ht="12.75">
      <c r="D4742" s="2"/>
    </row>
    <row r="4743" ht="12.75">
      <c r="D4743" s="2"/>
    </row>
    <row r="4744" ht="12.75">
      <c r="D4744" s="2"/>
    </row>
    <row r="4745" ht="12.75">
      <c r="D4745" s="2"/>
    </row>
    <row r="4746" ht="12.75">
      <c r="D4746" s="2"/>
    </row>
    <row r="4747" ht="12.75">
      <c r="D4747" s="2"/>
    </row>
    <row r="4748" ht="12.75">
      <c r="D4748" s="2"/>
    </row>
    <row r="4749" ht="12.75">
      <c r="D4749" s="2"/>
    </row>
    <row r="4750" ht="12.75">
      <c r="D4750" s="2"/>
    </row>
    <row r="4751" ht="12.75">
      <c r="D4751" s="2"/>
    </row>
    <row r="4752" ht="12.75">
      <c r="D4752" s="2"/>
    </row>
    <row r="4753" ht="12.75">
      <c r="D4753" s="2"/>
    </row>
    <row r="4754" ht="12.75">
      <c r="D4754" s="2"/>
    </row>
    <row r="4755" ht="12.75">
      <c r="D4755" s="2"/>
    </row>
    <row r="4756" ht="12.75">
      <c r="D4756" s="2"/>
    </row>
    <row r="4757" ht="12.75">
      <c r="D4757" s="2"/>
    </row>
    <row r="4758" ht="12.75">
      <c r="D4758" s="2"/>
    </row>
    <row r="4759" ht="12.75">
      <c r="D4759" s="2"/>
    </row>
    <row r="4760" ht="12.75">
      <c r="D4760" s="2"/>
    </row>
    <row r="4761" ht="12.75">
      <c r="D4761" s="2"/>
    </row>
    <row r="4762" ht="12.75">
      <c r="D4762" s="2"/>
    </row>
    <row r="4763" ht="12.75">
      <c r="D4763" s="2"/>
    </row>
    <row r="4764" ht="12.75">
      <c r="D4764" s="2"/>
    </row>
    <row r="4765" ht="12.75">
      <c r="D4765" s="2"/>
    </row>
    <row r="4766" ht="12.75">
      <c r="D4766" s="2"/>
    </row>
    <row r="4767" ht="12.75">
      <c r="D4767" s="2"/>
    </row>
    <row r="4768" ht="12.75">
      <c r="D4768" s="2"/>
    </row>
    <row r="4769" ht="12.75">
      <c r="D4769" s="2"/>
    </row>
    <row r="4770" ht="12.75">
      <c r="D4770" s="2"/>
    </row>
    <row r="4771" ht="12.75">
      <c r="D4771" s="2"/>
    </row>
    <row r="4772" ht="12.75">
      <c r="D4772" s="2"/>
    </row>
    <row r="4773" ht="12.75">
      <c r="D4773" s="2"/>
    </row>
    <row r="4774" ht="12.75">
      <c r="D4774" s="2"/>
    </row>
    <row r="4775" ht="12.75">
      <c r="D4775" s="2"/>
    </row>
    <row r="4776" ht="12.75">
      <c r="D4776" s="2"/>
    </row>
    <row r="4777" ht="12.75">
      <c r="D4777" s="2"/>
    </row>
    <row r="4778" ht="12.75">
      <c r="D4778" s="2"/>
    </row>
    <row r="4779" ht="12.75">
      <c r="D4779" s="2"/>
    </row>
    <row r="4780" ht="12.75">
      <c r="D4780" s="2"/>
    </row>
    <row r="4781" ht="12.75">
      <c r="D4781" s="2"/>
    </row>
    <row r="4782" ht="12.75">
      <c r="D4782" s="2"/>
    </row>
    <row r="4783" ht="12.75">
      <c r="D4783" s="2"/>
    </row>
    <row r="4784" ht="12.75">
      <c r="D4784" s="2"/>
    </row>
    <row r="4785" ht="12.75">
      <c r="D4785" s="2"/>
    </row>
    <row r="4786" ht="12.75">
      <c r="D4786" s="2"/>
    </row>
    <row r="4787" ht="12.75">
      <c r="D4787" s="2"/>
    </row>
    <row r="4788" ht="12.75">
      <c r="D4788" s="2"/>
    </row>
    <row r="4789" ht="12.75">
      <c r="D4789" s="2"/>
    </row>
    <row r="4790" ht="12.75">
      <c r="D4790" s="2"/>
    </row>
    <row r="4791" ht="12.75">
      <c r="D4791" s="2"/>
    </row>
    <row r="4792" ht="12.75">
      <c r="D4792" s="2"/>
    </row>
    <row r="4793" ht="12.75">
      <c r="D4793" s="2"/>
    </row>
    <row r="4794" ht="12.75">
      <c r="D4794" s="2"/>
    </row>
    <row r="4795" ht="12.75">
      <c r="D4795" s="2"/>
    </row>
    <row r="4796" ht="12.75">
      <c r="D4796" s="2"/>
    </row>
    <row r="4797" ht="12.75">
      <c r="D4797" s="2"/>
    </row>
    <row r="4798" ht="12.75">
      <c r="D4798" s="2"/>
    </row>
    <row r="4799" ht="12.75">
      <c r="D4799" s="2"/>
    </row>
    <row r="4800" ht="12.75">
      <c r="D4800" s="2"/>
    </row>
    <row r="4801" ht="12.75">
      <c r="D4801" s="2"/>
    </row>
    <row r="4802" ht="12.75">
      <c r="D4802" s="2"/>
    </row>
    <row r="4803" ht="12.75">
      <c r="D4803" s="2"/>
    </row>
    <row r="4804" ht="12.75">
      <c r="D4804" s="2"/>
    </row>
    <row r="4805" ht="12.75">
      <c r="D4805" s="2"/>
    </row>
    <row r="4806" ht="12.75">
      <c r="D4806" s="2"/>
    </row>
    <row r="4807" ht="12.75">
      <c r="D4807" s="2"/>
    </row>
    <row r="4808" ht="12.75">
      <c r="D4808" s="2"/>
    </row>
    <row r="4809" ht="12.75">
      <c r="D4809" s="2"/>
    </row>
    <row r="4810" ht="12.75">
      <c r="D4810" s="2"/>
    </row>
    <row r="4811" ht="12.75">
      <c r="D4811" s="2"/>
    </row>
    <row r="4812" ht="12.75">
      <c r="D4812" s="2"/>
    </row>
    <row r="4813" ht="12.75">
      <c r="D4813" s="2"/>
    </row>
    <row r="4814" ht="12.75">
      <c r="D4814" s="2"/>
    </row>
    <row r="4815" ht="12.75">
      <c r="D4815" s="2"/>
    </row>
    <row r="4816" ht="12.75">
      <c r="D4816" s="2"/>
    </row>
    <row r="4817" ht="12.75">
      <c r="D4817" s="2"/>
    </row>
    <row r="4818" ht="12.75">
      <c r="D4818" s="2"/>
    </row>
    <row r="4819" ht="12.75">
      <c r="D4819" s="2"/>
    </row>
    <row r="4820" ht="12.75">
      <c r="D4820" s="2"/>
    </row>
    <row r="4821" ht="12.75">
      <c r="D4821" s="2"/>
    </row>
    <row r="4822" ht="12.75">
      <c r="D4822" s="2"/>
    </row>
    <row r="4823" ht="12.75">
      <c r="D4823" s="2"/>
    </row>
    <row r="4824" ht="12.75">
      <c r="D4824" s="2"/>
    </row>
    <row r="4825" ht="12.75">
      <c r="D4825" s="2"/>
    </row>
    <row r="4826" ht="12.75">
      <c r="D4826" s="2"/>
    </row>
    <row r="4827" ht="12.75">
      <c r="D4827" s="2"/>
    </row>
    <row r="4828" ht="12.75">
      <c r="D4828" s="2"/>
    </row>
    <row r="4829" ht="12.75">
      <c r="D4829" s="2"/>
    </row>
    <row r="4830" ht="12.75">
      <c r="D4830" s="2"/>
    </row>
    <row r="4831" ht="12.75">
      <c r="D4831" s="2"/>
    </row>
    <row r="4832" ht="12.75">
      <c r="D4832" s="2"/>
    </row>
    <row r="4833" ht="12.75">
      <c r="D4833" s="2"/>
    </row>
    <row r="4834" ht="12.75">
      <c r="D4834" s="2"/>
    </row>
    <row r="4835" ht="12.75">
      <c r="D4835" s="2"/>
    </row>
    <row r="4836" ht="12.75">
      <c r="D4836" s="2"/>
    </row>
    <row r="4837" ht="12.75">
      <c r="D4837" s="2"/>
    </row>
    <row r="4838" ht="12.75">
      <c r="D4838" s="2"/>
    </row>
    <row r="4839" ht="12.75">
      <c r="D4839" s="2"/>
    </row>
    <row r="4840" ht="12.75">
      <c r="D4840" s="2"/>
    </row>
    <row r="4841" ht="12.75">
      <c r="D4841" s="2"/>
    </row>
    <row r="4842" ht="12.75">
      <c r="D4842" s="2"/>
    </row>
    <row r="4843" ht="12.75">
      <c r="D4843" s="2"/>
    </row>
    <row r="4844" ht="12.75">
      <c r="D4844" s="2"/>
    </row>
    <row r="4845" ht="12.75">
      <c r="D4845" s="2"/>
    </row>
    <row r="4846" ht="12.75">
      <c r="D4846" s="2"/>
    </row>
    <row r="4847" ht="12.75">
      <c r="D4847" s="2"/>
    </row>
    <row r="4848" ht="12.75">
      <c r="D4848" s="2"/>
    </row>
    <row r="4849" ht="12.75">
      <c r="D4849" s="2"/>
    </row>
    <row r="4850" ht="12.75">
      <c r="D4850" s="2"/>
    </row>
    <row r="4851" ht="12.75">
      <c r="D4851" s="2"/>
    </row>
    <row r="4852" ht="12.75">
      <c r="D4852" s="2"/>
    </row>
    <row r="4853" ht="12.75">
      <c r="D4853" s="2"/>
    </row>
    <row r="4854" ht="12.75">
      <c r="D4854" s="2"/>
    </row>
    <row r="4855" ht="12.75">
      <c r="D4855" s="2"/>
    </row>
    <row r="4856" ht="12.75">
      <c r="D4856" s="2"/>
    </row>
    <row r="4857" ht="12.75">
      <c r="D4857" s="2"/>
    </row>
    <row r="4858" ht="12.75">
      <c r="D4858" s="2"/>
    </row>
    <row r="4859" ht="12.75">
      <c r="D4859" s="2"/>
    </row>
    <row r="4860" ht="12.75">
      <c r="D4860" s="2"/>
    </row>
    <row r="4861" ht="12.75">
      <c r="D4861" s="2"/>
    </row>
    <row r="4862" ht="12.75">
      <c r="D4862" s="2"/>
    </row>
    <row r="4863" ht="12.75">
      <c r="D4863" s="2"/>
    </row>
    <row r="4864" ht="12.75">
      <c r="D4864" s="2"/>
    </row>
    <row r="4865" ht="12.75">
      <c r="D4865" s="2"/>
    </row>
    <row r="4866" ht="12.75">
      <c r="D4866" s="2"/>
    </row>
    <row r="4867" ht="12.75">
      <c r="D4867" s="2"/>
    </row>
    <row r="4868" ht="12.75">
      <c r="D4868" s="2"/>
    </row>
    <row r="4869" ht="12.75">
      <c r="D4869" s="2"/>
    </row>
    <row r="4870" ht="12.75">
      <c r="D4870" s="2"/>
    </row>
    <row r="4871" ht="12.75">
      <c r="D4871" s="2"/>
    </row>
    <row r="4872" ht="12.75">
      <c r="D4872" s="2"/>
    </row>
    <row r="4873" ht="12.75">
      <c r="D4873" s="2"/>
    </row>
    <row r="4874" ht="12.75">
      <c r="D4874" s="2"/>
    </row>
    <row r="4875" ht="12.75">
      <c r="D4875" s="2"/>
    </row>
    <row r="4876" ht="12.75">
      <c r="D4876" s="2"/>
    </row>
    <row r="4877" ht="12.75">
      <c r="D4877" s="2"/>
    </row>
    <row r="4878" ht="12.75">
      <c r="D4878" s="2"/>
    </row>
    <row r="4879" ht="12.75">
      <c r="D4879" s="2"/>
    </row>
    <row r="4880" ht="12.75">
      <c r="D4880" s="2"/>
    </row>
    <row r="4881" ht="12.75">
      <c r="D4881" s="2"/>
    </row>
    <row r="4882" ht="12.75">
      <c r="D4882" s="2"/>
    </row>
    <row r="4883" ht="12.75">
      <c r="D4883" s="2"/>
    </row>
    <row r="4884" ht="12.75">
      <c r="D4884" s="2"/>
    </row>
    <row r="4885" ht="12.75">
      <c r="D4885" s="2"/>
    </row>
    <row r="4886" ht="12.75">
      <c r="D4886" s="2"/>
    </row>
    <row r="4887" ht="12.75">
      <c r="D4887" s="2"/>
    </row>
    <row r="4888" ht="12.75">
      <c r="D4888" s="2"/>
    </row>
    <row r="4889" ht="12.75">
      <c r="D4889" s="2"/>
    </row>
    <row r="4890" ht="12.75">
      <c r="D4890" s="2"/>
    </row>
    <row r="4891" ht="12.75">
      <c r="D4891" s="2"/>
    </row>
    <row r="4892" ht="12.75">
      <c r="D4892" s="2"/>
    </row>
    <row r="4893" ht="12.75">
      <c r="D4893" s="2"/>
    </row>
    <row r="4894" ht="12.75">
      <c r="D4894" s="2"/>
    </row>
    <row r="4895" ht="12.75">
      <c r="D4895" s="2"/>
    </row>
    <row r="4896" ht="12.75">
      <c r="D4896" s="2"/>
    </row>
    <row r="4897" ht="12.75">
      <c r="D4897" s="2"/>
    </row>
    <row r="4898" ht="12.75">
      <c r="D4898" s="2"/>
    </row>
    <row r="4899" ht="12.75">
      <c r="D4899" s="2"/>
    </row>
    <row r="4900" ht="12.75">
      <c r="D4900" s="2"/>
    </row>
    <row r="4901" ht="12.75">
      <c r="D4901" s="2"/>
    </row>
    <row r="4902" ht="12.75">
      <c r="D4902" s="2"/>
    </row>
    <row r="4903" ht="12.75">
      <c r="D4903" s="2"/>
    </row>
    <row r="4904" ht="12.75">
      <c r="D4904" s="2"/>
    </row>
    <row r="4905" ht="12.75">
      <c r="D4905" s="2"/>
    </row>
    <row r="4906" ht="12.75">
      <c r="D4906" s="2"/>
    </row>
    <row r="4907" ht="12.75">
      <c r="D4907" s="2"/>
    </row>
    <row r="4908" ht="12.75">
      <c r="D4908" s="2"/>
    </row>
    <row r="4909" ht="12.75">
      <c r="D4909" s="2"/>
    </row>
    <row r="4910" ht="12.75">
      <c r="D4910" s="2"/>
    </row>
    <row r="4911" ht="12.75">
      <c r="D4911" s="2"/>
    </row>
    <row r="4912" ht="12.75">
      <c r="D4912" s="2"/>
    </row>
    <row r="4913" ht="12.75">
      <c r="D4913" s="2"/>
    </row>
    <row r="4914" ht="12.75">
      <c r="D4914" s="2"/>
    </row>
    <row r="4915" ht="12.75">
      <c r="D4915" s="2"/>
    </row>
    <row r="4916" ht="12.75">
      <c r="D4916" s="2"/>
    </row>
    <row r="4917" ht="12.75">
      <c r="D4917" s="2"/>
    </row>
    <row r="4918" ht="12.75">
      <c r="D4918" s="2"/>
    </row>
    <row r="4919" ht="12.75">
      <c r="D4919" s="2"/>
    </row>
    <row r="4920" ht="12.75">
      <c r="D4920" s="2"/>
    </row>
    <row r="4921" ht="12.75">
      <c r="D4921" s="2"/>
    </row>
    <row r="4922" ht="12.75">
      <c r="D4922" s="2"/>
    </row>
    <row r="4923" ht="12.75">
      <c r="D4923" s="2"/>
    </row>
    <row r="4924" ht="12.75">
      <c r="D4924" s="2"/>
    </row>
    <row r="4925" ht="12.75">
      <c r="D4925" s="2"/>
    </row>
    <row r="4926" ht="12.75">
      <c r="D4926" s="2"/>
    </row>
    <row r="4927" ht="12.75">
      <c r="D4927" s="2"/>
    </row>
    <row r="4928" ht="12.75">
      <c r="D4928" s="2"/>
    </row>
    <row r="4929" ht="12.75">
      <c r="D4929" s="2"/>
    </row>
    <row r="4930" ht="12.75">
      <c r="D4930" s="2"/>
    </row>
    <row r="4931" ht="12.75">
      <c r="D4931" s="2"/>
    </row>
    <row r="4932" ht="12.75">
      <c r="D4932" s="2"/>
    </row>
    <row r="4933" ht="12.75">
      <c r="D4933" s="2"/>
    </row>
    <row r="4934" ht="12.75">
      <c r="D4934" s="2"/>
    </row>
    <row r="4935" ht="12.75">
      <c r="D4935" s="2"/>
    </row>
    <row r="4936" ht="12.75">
      <c r="D4936" s="2"/>
    </row>
    <row r="4937" ht="12.75">
      <c r="D4937" s="2"/>
    </row>
    <row r="4938" ht="12.75">
      <c r="D4938" s="2"/>
    </row>
    <row r="4939" ht="12.75">
      <c r="D4939" s="2"/>
    </row>
    <row r="4940" ht="12.75">
      <c r="D4940" s="2"/>
    </row>
    <row r="4941" ht="12.75">
      <c r="D4941" s="2"/>
    </row>
    <row r="4942" ht="12.75">
      <c r="D4942" s="2"/>
    </row>
    <row r="4943" ht="12.75">
      <c r="D4943" s="2"/>
    </row>
    <row r="4944" ht="12.75">
      <c r="D4944" s="2"/>
    </row>
    <row r="4945" ht="12.75">
      <c r="D4945" s="2"/>
    </row>
    <row r="4946" ht="12.75">
      <c r="D4946" s="2"/>
    </row>
    <row r="4947" ht="12.75">
      <c r="D4947" s="2"/>
    </row>
    <row r="4948" ht="12.75">
      <c r="D4948" s="2"/>
    </row>
    <row r="4949" ht="12.75">
      <c r="D4949" s="2"/>
    </row>
    <row r="4950" ht="12.75">
      <c r="D4950" s="2"/>
    </row>
    <row r="4951" ht="12.75">
      <c r="D4951" s="2"/>
    </row>
    <row r="4952" ht="12.75">
      <c r="D4952" s="2"/>
    </row>
    <row r="4953" ht="12.75">
      <c r="D4953" s="2"/>
    </row>
    <row r="4954" ht="12.75">
      <c r="D4954" s="2"/>
    </row>
    <row r="4955" ht="12.75">
      <c r="D4955" s="2"/>
    </row>
    <row r="4956" ht="12.75">
      <c r="D4956" s="2"/>
    </row>
    <row r="4957" ht="12.75">
      <c r="D4957" s="2"/>
    </row>
    <row r="4958" ht="12.75">
      <c r="D4958" s="2"/>
    </row>
    <row r="4959" ht="12.75">
      <c r="D4959" s="2"/>
    </row>
    <row r="4960" ht="12.75">
      <c r="D4960" s="2"/>
    </row>
    <row r="4961" ht="12.75">
      <c r="D4961" s="2"/>
    </row>
    <row r="4962" ht="12.75">
      <c r="D4962" s="2"/>
    </row>
    <row r="4963" ht="12.75">
      <c r="D4963" s="2"/>
    </row>
    <row r="4964" ht="12.75">
      <c r="D4964" s="2"/>
    </row>
    <row r="4965" ht="12.75">
      <c r="D4965" s="2"/>
    </row>
    <row r="4966" ht="12.75">
      <c r="D4966" s="2"/>
    </row>
    <row r="4967" ht="12.75">
      <c r="D4967" s="2"/>
    </row>
    <row r="4968" ht="12.75">
      <c r="D4968" s="2"/>
    </row>
    <row r="4969" ht="12.75">
      <c r="D4969" s="2"/>
    </row>
    <row r="4970" ht="12.75">
      <c r="D4970" s="2"/>
    </row>
    <row r="4971" ht="12.75">
      <c r="D4971" s="2"/>
    </row>
    <row r="4972" ht="12.75">
      <c r="D4972" s="2"/>
    </row>
    <row r="4973" ht="12.75">
      <c r="D4973" s="2"/>
    </row>
    <row r="4974" ht="12.75">
      <c r="D4974" s="2"/>
    </row>
    <row r="4975" ht="12.75">
      <c r="D4975" s="2"/>
    </row>
    <row r="4976" ht="12.75">
      <c r="D4976" s="2"/>
    </row>
    <row r="4977" ht="12.75">
      <c r="D4977" s="2"/>
    </row>
    <row r="4978" ht="12.75">
      <c r="D4978" s="2"/>
    </row>
    <row r="4979" ht="12.75">
      <c r="D4979" s="2"/>
    </row>
  </sheetData>
  <mergeCells count="50">
    <mergeCell ref="C4:G4"/>
    <mergeCell ref="F20:G20"/>
    <mergeCell ref="F21:G21"/>
    <mergeCell ref="B59:C59"/>
    <mergeCell ref="B60:C60"/>
    <mergeCell ref="B61:C61"/>
    <mergeCell ref="B62:C62"/>
    <mergeCell ref="B64:C64"/>
    <mergeCell ref="B67:C67"/>
    <mergeCell ref="B69:C69"/>
    <mergeCell ref="B63:C63"/>
    <mergeCell ref="B66:C66"/>
    <mergeCell ref="B68:C68"/>
    <mergeCell ref="B77:C77"/>
    <mergeCell ref="B78:C78"/>
    <mergeCell ref="B79:C79"/>
    <mergeCell ref="B80:C80"/>
    <mergeCell ref="B76:C76"/>
    <mergeCell ref="B75:C75"/>
    <mergeCell ref="B58:C58"/>
    <mergeCell ref="B57:C57"/>
    <mergeCell ref="B74:C74"/>
    <mergeCell ref="B70:C70"/>
    <mergeCell ref="B71:C71"/>
    <mergeCell ref="B72:C72"/>
    <mergeCell ref="B73:C73"/>
    <mergeCell ref="B65:C65"/>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F107:H107"/>
    <mergeCell ref="F191:H191"/>
    <mergeCell ref="F192:H192"/>
    <mergeCell ref="B100:C100"/>
    <mergeCell ref="B101:C101"/>
    <mergeCell ref="B102:C102"/>
    <mergeCell ref="F106:H106"/>
  </mergeCells>
  <printOptions/>
  <pageMargins left="0.75" right="0.75" top="1" bottom="1" header="0.5" footer="0.5"/>
  <pageSetup horizontalDpi="600" verticalDpi="600" orientation="portrait" paperSize="8" scale="80" r:id="rId3"/>
  <rowBreaks count="2" manualBreakCount="2">
    <brk id="103" max="255" man="1"/>
    <brk id="189" max="255" man="1"/>
  </rowBreaks>
  <ignoredErrors>
    <ignoredError sqref="B109" numberStoredAsText="1"/>
  </ignoredErrors>
  <legacyDrawing r:id="rId2"/>
</worksheet>
</file>

<file path=xl/worksheets/sheet2.xml><?xml version="1.0" encoding="utf-8"?>
<worksheet xmlns="http://schemas.openxmlformats.org/spreadsheetml/2006/main" xmlns:r="http://schemas.openxmlformats.org/officeDocument/2006/relationships">
  <dimension ref="A3:S169"/>
  <sheetViews>
    <sheetView workbookViewId="0" topLeftCell="A1">
      <selection activeCell="G73" sqref="G73"/>
    </sheetView>
  </sheetViews>
  <sheetFormatPr defaultColWidth="9.140625" defaultRowHeight="12.75"/>
  <cols>
    <col min="1" max="1" width="25.7109375" style="0" customWidth="1"/>
    <col min="2" max="2" width="17.140625" style="0" customWidth="1"/>
    <col min="3" max="3" width="20.7109375" style="0" customWidth="1"/>
    <col min="4" max="4" width="18.57421875" style="0" customWidth="1"/>
    <col min="5" max="5" width="20.7109375" style="0" customWidth="1"/>
    <col min="6" max="6" width="25.7109375" style="0" customWidth="1"/>
    <col min="7" max="7" width="19.28125" style="0" customWidth="1"/>
    <col min="8" max="16" width="25.7109375" style="0" customWidth="1"/>
    <col min="17" max="17" width="14.57421875" style="0" customWidth="1"/>
    <col min="18" max="18" width="21.00390625" style="0" customWidth="1"/>
    <col min="19" max="19" width="16.8515625" style="0" customWidth="1"/>
  </cols>
  <sheetData>
    <row r="3" spans="1:19" ht="12.75">
      <c r="A3" s="9" t="s">
        <v>360</v>
      </c>
      <c r="B3" s="1"/>
      <c r="C3" s="9" t="s">
        <v>466</v>
      </c>
      <c r="D3" s="32"/>
      <c r="E3" s="9" t="s">
        <v>468</v>
      </c>
      <c r="F3" s="9" t="s">
        <v>361</v>
      </c>
      <c r="G3" s="9" t="s">
        <v>584</v>
      </c>
      <c r="H3" s="14"/>
      <c r="I3" s="9" t="s">
        <v>502</v>
      </c>
      <c r="J3" s="9" t="s">
        <v>502</v>
      </c>
      <c r="K3" s="9" t="s">
        <v>502</v>
      </c>
      <c r="L3" s="9" t="s">
        <v>502</v>
      </c>
      <c r="M3" s="9" t="s">
        <v>502</v>
      </c>
      <c r="N3" s="9" t="s">
        <v>502</v>
      </c>
      <c r="O3" s="9" t="s">
        <v>502</v>
      </c>
      <c r="P3" s="9" t="s">
        <v>502</v>
      </c>
      <c r="R3" s="9" t="s">
        <v>622</v>
      </c>
      <c r="S3" s="9" t="s">
        <v>625</v>
      </c>
    </row>
    <row r="4" spans="1:19" ht="12.75">
      <c r="A4" s="81">
        <v>440</v>
      </c>
      <c r="B4" s="9" t="s">
        <v>461</v>
      </c>
      <c r="C4" s="103" t="s">
        <v>467</v>
      </c>
      <c r="D4" s="9" t="s">
        <v>621</v>
      </c>
      <c r="E4" s="67" t="s">
        <v>469</v>
      </c>
      <c r="F4" s="81">
        <f>(F65)</f>
        <v>440</v>
      </c>
      <c r="G4" s="9" t="s">
        <v>626</v>
      </c>
      <c r="H4" s="78" t="s">
        <v>483</v>
      </c>
      <c r="I4" s="9" t="s">
        <v>510</v>
      </c>
      <c r="J4" s="9" t="s">
        <v>511</v>
      </c>
      <c r="K4" s="9" t="s">
        <v>580</v>
      </c>
      <c r="L4" s="9" t="s">
        <v>512</v>
      </c>
      <c r="M4" s="9" t="s">
        <v>513</v>
      </c>
      <c r="N4" s="9" t="s">
        <v>582</v>
      </c>
      <c r="O4" s="9" t="s">
        <v>514</v>
      </c>
      <c r="P4" s="9" t="s">
        <v>515</v>
      </c>
      <c r="R4" s="9" t="s">
        <v>623</v>
      </c>
      <c r="S4" s="9" t="s">
        <v>624</v>
      </c>
    </row>
    <row r="5" spans="3:9" ht="12.75">
      <c r="C5" s="8"/>
      <c r="H5" s="14"/>
      <c r="I5" s="115"/>
    </row>
    <row r="6" spans="1:19" ht="12.75">
      <c r="A6" s="82">
        <f>('Construct &amp; Scrutinize 79 tones'!B109*(A4/'Construct &amp; Scrutinize 79 tones'!B168))</f>
        <v>261.9045725912586</v>
      </c>
      <c r="B6" s="89" t="s">
        <v>352</v>
      </c>
      <c r="C6" s="104">
        <f aca="true" t="shared" si="0" ref="C6:C37">(A52*2)-(A6*3)</f>
        <v>0</v>
      </c>
      <c r="D6" s="105">
        <v>-0.2862822262241025</v>
      </c>
      <c r="E6" s="104">
        <f aca="true" t="shared" si="1" ref="E6:E39">(F52*2)-(F6*3)</f>
        <v>0</v>
      </c>
      <c r="F6" s="82">
        <f aca="true" t="shared" si="2" ref="F6:F37">(D6-(A52*2))/-3</f>
        <v>262</v>
      </c>
      <c r="G6" s="89" t="s">
        <v>585</v>
      </c>
      <c r="H6" s="96">
        <f>(LOG10(F6/F6))*1200/(LOG10(2))</f>
        <v>0</v>
      </c>
      <c r="I6" s="104"/>
      <c r="J6" s="104">
        <f aca="true" t="shared" si="3" ref="J6:J25">(F31*4)-(F6*5)</f>
        <v>-6</v>
      </c>
      <c r="K6" s="294">
        <f aca="true" t="shared" si="4" ref="K6:K37">(F32*4)-(F6*5)</f>
        <v>5</v>
      </c>
      <c r="L6" s="294">
        <f aca="true" t="shared" si="5" ref="L6:L37">(F33*64)-(F6*81)</f>
        <v>10</v>
      </c>
      <c r="M6" s="294">
        <f aca="true" t="shared" si="6" ref="M6:M37">(F27*5)-(F6*6)</f>
        <v>1.75</v>
      </c>
      <c r="N6" s="104">
        <f aca="true" t="shared" si="7" ref="N6:N37">(F26*5)-(F6*6)</f>
        <v>-12</v>
      </c>
      <c r="O6" s="104">
        <f aca="true" t="shared" si="8" ref="O6:O37">(F25*27)-(F6*32)</f>
        <v>-34.25</v>
      </c>
      <c r="P6" s="104">
        <f aca="true" t="shared" si="9" ref="P6:P21">(F70*4)-(F6*7)</f>
        <v>5</v>
      </c>
      <c r="Q6" s="48" t="s">
        <v>352</v>
      </c>
      <c r="R6" s="296">
        <f aca="true" t="shared" si="10" ref="R6:R37">CEILING(A6,0.5)</f>
        <v>262</v>
      </c>
      <c r="S6" s="296">
        <f aca="true" t="shared" si="11" ref="S6:S39">(R6*-3)+A52*2</f>
        <v>-0.2862822262241025</v>
      </c>
    </row>
    <row r="7" spans="1:19" ht="12.75">
      <c r="A7" s="85">
        <f>('Construct &amp; Scrutinize 79 tones'!B110*(A4/'Construct &amp; Scrutinize 79 tones'!B168))</f>
        <v>264.1977451565027</v>
      </c>
      <c r="B7" s="90" t="s">
        <v>8</v>
      </c>
      <c r="C7" s="32">
        <f t="shared" si="0"/>
        <v>1.0231815394945443E-12</v>
      </c>
      <c r="D7" s="105">
        <v>-0.9067645304908183</v>
      </c>
      <c r="E7" s="32">
        <f t="shared" si="1"/>
        <v>-0.5</v>
      </c>
      <c r="F7" s="85">
        <f>(D7-(A53*2))/-3</f>
        <v>264.5</v>
      </c>
      <c r="G7" s="90" t="s">
        <v>595</v>
      </c>
      <c r="H7" s="95">
        <f>(LOG10(F7/F6))*1200/(LOG10(2))</f>
        <v>16.44109269189054</v>
      </c>
      <c r="I7" s="32"/>
      <c r="J7" s="32">
        <f t="shared" si="3"/>
        <v>-7.5</v>
      </c>
      <c r="K7" s="144">
        <f t="shared" si="4"/>
        <v>4.5</v>
      </c>
      <c r="L7" s="144">
        <f t="shared" si="5"/>
        <v>-16.5</v>
      </c>
      <c r="M7" s="144">
        <f t="shared" si="6"/>
        <v>0.5</v>
      </c>
      <c r="N7" s="32">
        <f t="shared" si="7"/>
        <v>-13.25</v>
      </c>
      <c r="O7" s="32">
        <f t="shared" si="8"/>
        <v>-40</v>
      </c>
      <c r="P7" s="32">
        <f t="shared" si="9"/>
        <v>3.5</v>
      </c>
      <c r="Q7" s="47" t="s">
        <v>8</v>
      </c>
      <c r="R7" s="296">
        <f t="shared" si="10"/>
        <v>264.5</v>
      </c>
      <c r="S7" s="296">
        <f t="shared" si="11"/>
        <v>-0.9067645304908183</v>
      </c>
    </row>
    <row r="8" spans="1:19" ht="12.75">
      <c r="A8" s="84">
        <f>('Construct &amp; Scrutinize 79 tones'!B111*(A4/'Construct &amp; Scrutinize 79 tones'!B168))</f>
        <v>266.51099618146947</v>
      </c>
      <c r="B8" s="90" t="s">
        <v>9</v>
      </c>
      <c r="C8" s="32">
        <f t="shared" si="0"/>
        <v>9.094947017729282E-13</v>
      </c>
      <c r="D8" s="105">
        <v>-0.7170114555906366</v>
      </c>
      <c r="E8" s="32">
        <f t="shared" si="1"/>
        <v>-0.25</v>
      </c>
      <c r="F8" s="85">
        <f t="shared" si="2"/>
        <v>266.75</v>
      </c>
      <c r="G8" s="90" t="s">
        <v>594</v>
      </c>
      <c r="H8" s="95">
        <f>(LOG10(F8/F6))*1200/(LOG10(2))</f>
        <v>31.105751144369663</v>
      </c>
      <c r="I8" s="32"/>
      <c r="J8" s="32">
        <f t="shared" si="3"/>
        <v>-6.75</v>
      </c>
      <c r="K8" s="144">
        <f t="shared" si="4"/>
        <v>4.25</v>
      </c>
      <c r="L8" s="144">
        <f t="shared" si="5"/>
        <v>-6.75</v>
      </c>
      <c r="M8" s="144">
        <f t="shared" si="6"/>
        <v>0.75</v>
      </c>
      <c r="N8" s="32">
        <f t="shared" si="7"/>
        <v>-13</v>
      </c>
      <c r="O8" s="32">
        <f t="shared" si="8"/>
        <v>-37.75</v>
      </c>
      <c r="P8" s="32">
        <f t="shared" si="9"/>
        <v>3.8611111111079026</v>
      </c>
      <c r="Q8" s="47" t="s">
        <v>9</v>
      </c>
      <c r="R8" s="296">
        <f>CEILING(A8,0.25)</f>
        <v>266.75</v>
      </c>
      <c r="S8" s="296">
        <f t="shared" si="11"/>
        <v>-0.7170114555906366</v>
      </c>
    </row>
    <row r="9" spans="1:19" ht="12.75">
      <c r="A9" s="84">
        <f>('Construct &amp; Scrutinize 79 tones'!B112*(A4/'Construct &amp; Scrutinize 79 tones'!B168))</f>
        <v>268.84450146826543</v>
      </c>
      <c r="B9" s="90" t="s">
        <v>10</v>
      </c>
      <c r="C9" s="32">
        <f t="shared" si="0"/>
        <v>0</v>
      </c>
      <c r="D9" s="105">
        <v>-0.46649559520426465</v>
      </c>
      <c r="E9" s="32">
        <f t="shared" si="1"/>
        <v>0</v>
      </c>
      <c r="F9" s="85">
        <f t="shared" si="2"/>
        <v>269</v>
      </c>
      <c r="G9" s="90" t="s">
        <v>593</v>
      </c>
      <c r="H9" s="95">
        <f>(LOG10(F9/F6))*1200/(LOG10(2))</f>
        <v>45.647233223008804</v>
      </c>
      <c r="I9" s="32"/>
      <c r="J9" s="32">
        <f t="shared" si="3"/>
        <v>-7</v>
      </c>
      <c r="K9" s="144">
        <f t="shared" si="4"/>
        <v>5</v>
      </c>
      <c r="L9" s="144">
        <f t="shared" si="5"/>
        <v>3</v>
      </c>
      <c r="M9" s="144">
        <f t="shared" si="6"/>
        <v>1</v>
      </c>
      <c r="N9" s="32">
        <f t="shared" si="7"/>
        <v>-12.75</v>
      </c>
      <c r="O9" s="32">
        <f t="shared" si="8"/>
        <v>-35.5</v>
      </c>
      <c r="P9" s="32">
        <f t="shared" si="9"/>
        <v>5</v>
      </c>
      <c r="Q9" s="47" t="s">
        <v>10</v>
      </c>
      <c r="R9" s="296">
        <f t="shared" si="10"/>
        <v>269</v>
      </c>
      <c r="S9" s="296">
        <f t="shared" si="11"/>
        <v>-0.46649559520426465</v>
      </c>
    </row>
    <row r="10" spans="1:19" ht="12.75">
      <c r="A10" s="84">
        <f>('Construct &amp; Scrutinize 79 tones'!B113*(A4/'Construct &amp; Scrutinize 79 tones'!B168))</f>
        <v>271.19843835827066</v>
      </c>
      <c r="B10" s="90" t="s">
        <v>11</v>
      </c>
      <c r="C10" s="32">
        <f t="shared" si="0"/>
        <v>0</v>
      </c>
      <c r="D10" s="105">
        <v>-0.1546849251886897</v>
      </c>
      <c r="E10" s="32">
        <f t="shared" si="1"/>
        <v>0.25</v>
      </c>
      <c r="F10" s="85">
        <f t="shared" si="2"/>
        <v>271.25</v>
      </c>
      <c r="G10" s="90" t="s">
        <v>592</v>
      </c>
      <c r="H10" s="95">
        <f>(LOG10(F10/F6))*1200/(LOG10(2))</f>
        <v>60.067590953269544</v>
      </c>
      <c r="J10" s="32">
        <f t="shared" si="3"/>
        <v>-6.25</v>
      </c>
      <c r="K10" s="144">
        <f t="shared" si="4"/>
        <v>5.75</v>
      </c>
      <c r="L10" s="144">
        <f t="shared" si="5"/>
        <v>12.75</v>
      </c>
      <c r="M10" s="144">
        <f t="shared" si="6"/>
        <v>2.5</v>
      </c>
      <c r="N10" s="32">
        <f t="shared" si="7"/>
        <v>-12.5</v>
      </c>
      <c r="O10" s="32">
        <f t="shared" si="8"/>
        <v>-33.25</v>
      </c>
      <c r="P10" s="32">
        <f t="shared" si="9"/>
        <v>5.25</v>
      </c>
      <c r="Q10" s="47" t="s">
        <v>11</v>
      </c>
      <c r="R10" s="296">
        <f>CEILING(A10,0.25)</f>
        <v>271.25</v>
      </c>
      <c r="S10" s="296">
        <f t="shared" si="11"/>
        <v>-0.1546849251886897</v>
      </c>
    </row>
    <row r="11" spans="1:19" ht="12.75">
      <c r="A11" s="84">
        <f>('Construct &amp; Scrutinize 79 tones'!B114*(A4/'Construct &amp; Scrutinize 79 tones'!B168))</f>
        <v>273.57298574561287</v>
      </c>
      <c r="B11" s="90" t="s">
        <v>12</v>
      </c>
      <c r="C11" s="32">
        <f t="shared" si="0"/>
        <v>0</v>
      </c>
      <c r="D11" s="105">
        <v>-0.5310427631610537</v>
      </c>
      <c r="E11" s="32">
        <f t="shared" si="1"/>
        <v>-0.25</v>
      </c>
      <c r="F11" s="85">
        <f t="shared" si="2"/>
        <v>273.75</v>
      </c>
      <c r="G11" s="90" t="s">
        <v>661</v>
      </c>
      <c r="H11" s="95">
        <f>(LOG10(F11/F6))*1200/(LOG10(2))</f>
        <v>75.95058354130245</v>
      </c>
      <c r="J11" s="32">
        <f t="shared" si="3"/>
        <v>-6.75</v>
      </c>
      <c r="K11" s="144">
        <f t="shared" si="4"/>
        <v>5.25</v>
      </c>
      <c r="L11" s="144">
        <f t="shared" si="5"/>
        <v>2.25</v>
      </c>
      <c r="M11" s="144">
        <f t="shared" si="6"/>
        <v>1.25</v>
      </c>
      <c r="N11" s="32">
        <f t="shared" si="7"/>
        <v>-12.5</v>
      </c>
      <c r="O11" s="32">
        <f t="shared" si="8"/>
        <v>-39</v>
      </c>
      <c r="P11" s="32">
        <f t="shared" si="9"/>
        <v>4.75</v>
      </c>
      <c r="Q11" s="47" t="s">
        <v>12</v>
      </c>
      <c r="R11" s="296">
        <f t="shared" si="10"/>
        <v>274</v>
      </c>
      <c r="S11" s="296">
        <f t="shared" si="11"/>
        <v>-1.2810427631610537</v>
      </c>
    </row>
    <row r="12" spans="1:19" ht="12.75">
      <c r="A12" s="84">
        <f>('Construct &amp; Scrutinize 79 tones'!B115*(A4/'Construct &amp; Scrutinize 79 tones'!B168))</f>
        <v>275.9683240907807</v>
      </c>
      <c r="B12" s="90" t="s">
        <v>13</v>
      </c>
      <c r="C12" s="32">
        <f t="shared" si="0"/>
        <v>0</v>
      </c>
      <c r="D12" s="105">
        <v>-0.8450277276575662</v>
      </c>
      <c r="E12" s="32">
        <f t="shared" si="1"/>
        <v>-0.75</v>
      </c>
      <c r="F12" s="85">
        <f t="shared" si="2"/>
        <v>276.25</v>
      </c>
      <c r="G12" s="297" t="s">
        <v>651</v>
      </c>
      <c r="H12" s="95">
        <f>(LOG10(F12/F6))*1200/(LOG10(2))</f>
        <v>91.68918328961222</v>
      </c>
      <c r="I12" s="32"/>
      <c r="J12" s="32">
        <f t="shared" si="3"/>
        <v>-7.25</v>
      </c>
      <c r="K12" s="144">
        <f t="shared" si="4"/>
        <v>4.75</v>
      </c>
      <c r="L12" s="144">
        <f t="shared" si="5"/>
        <v>-18.916666666689707</v>
      </c>
      <c r="M12" s="144">
        <f t="shared" si="6"/>
        <v>1.25</v>
      </c>
      <c r="N12" s="32">
        <f t="shared" si="7"/>
        <v>-13.75</v>
      </c>
      <c r="O12" s="32">
        <f t="shared" si="8"/>
        <v>-38</v>
      </c>
      <c r="P12" s="32">
        <f t="shared" si="9"/>
        <v>4.25</v>
      </c>
      <c r="Q12" s="47" t="s">
        <v>13</v>
      </c>
      <c r="R12" s="296">
        <f t="shared" si="10"/>
        <v>276</v>
      </c>
      <c r="S12" s="296">
        <f t="shared" si="11"/>
        <v>-0.09502772765756617</v>
      </c>
    </row>
    <row r="13" spans="1:19" ht="12.75">
      <c r="A13" s="84">
        <f>('Construct &amp; Scrutinize 79 tones'!B116*(A4/'Construct &amp; Scrutinize 79 tones'!B168))</f>
        <v>278.3846354343394</v>
      </c>
      <c r="B13" s="90" t="s">
        <v>14</v>
      </c>
      <c r="C13" s="32">
        <f t="shared" si="0"/>
        <v>1.1368683772161603E-12</v>
      </c>
      <c r="D13" s="105">
        <v>-0.34609369698068804</v>
      </c>
      <c r="E13" s="32">
        <f t="shared" si="1"/>
        <v>0</v>
      </c>
      <c r="F13" s="85">
        <f t="shared" si="2"/>
        <v>278.5</v>
      </c>
      <c r="G13" s="297" t="s">
        <v>662</v>
      </c>
      <c r="H13" s="95">
        <f>(LOG10(F13/F6))*1200/(LOG10(2))</f>
        <v>105.7326189630977</v>
      </c>
      <c r="I13" s="32"/>
      <c r="J13" s="32">
        <f t="shared" si="3"/>
        <v>-6.5</v>
      </c>
      <c r="K13" s="144">
        <f t="shared" si="4"/>
        <v>4.833333333331893</v>
      </c>
      <c r="L13" s="144">
        <f t="shared" si="5"/>
        <v>1.5</v>
      </c>
      <c r="M13" s="144">
        <f t="shared" si="6"/>
        <v>1.5</v>
      </c>
      <c r="N13" s="32">
        <f t="shared" si="7"/>
        <v>-12.25</v>
      </c>
      <c r="O13" s="32">
        <f t="shared" si="8"/>
        <v>-35.75</v>
      </c>
      <c r="P13" s="32">
        <f t="shared" si="9"/>
        <v>5.5</v>
      </c>
      <c r="Q13" s="47" t="s">
        <v>14</v>
      </c>
      <c r="R13" s="296">
        <f t="shared" si="10"/>
        <v>278.5</v>
      </c>
      <c r="S13" s="296">
        <f t="shared" si="11"/>
        <v>-0.34609369698068804</v>
      </c>
    </row>
    <row r="14" spans="1:19" ht="12.75">
      <c r="A14" s="84">
        <f>('Construct &amp; Scrutinize 79 tones'!B117*(A4/'Construct &amp; Scrutinize 79 tones'!B168))</f>
        <v>280.8221034107296</v>
      </c>
      <c r="B14" s="90" t="s">
        <v>15</v>
      </c>
      <c r="C14" s="32">
        <f t="shared" si="0"/>
        <v>1.0231815394945443E-12</v>
      </c>
      <c r="D14" s="105">
        <v>-0.5336897678101877</v>
      </c>
      <c r="E14" s="32">
        <f t="shared" si="1"/>
        <v>-0.5</v>
      </c>
      <c r="F14" s="85">
        <f t="shared" si="2"/>
        <v>281</v>
      </c>
      <c r="G14" s="297" t="s">
        <v>591</v>
      </c>
      <c r="H14" s="95">
        <f>(LOG10(F14/F6))*1200/(LOG10(2))</f>
        <v>121.2039824201709</v>
      </c>
      <c r="I14" s="32"/>
      <c r="J14" s="32">
        <f t="shared" si="3"/>
        <v>-7.666666666668107</v>
      </c>
      <c r="K14" s="144">
        <f t="shared" si="4"/>
        <v>5</v>
      </c>
      <c r="L14" s="144">
        <f t="shared" si="5"/>
        <v>-9</v>
      </c>
      <c r="M14" s="144">
        <f t="shared" si="6"/>
        <v>1.5</v>
      </c>
      <c r="N14" s="32">
        <f t="shared" si="7"/>
        <v>-13.5</v>
      </c>
      <c r="O14" s="32">
        <f t="shared" si="8"/>
        <v>-34.75</v>
      </c>
      <c r="P14" s="32">
        <f t="shared" si="9"/>
        <v>4</v>
      </c>
      <c r="Q14" s="47" t="s">
        <v>15</v>
      </c>
      <c r="R14" s="296">
        <f t="shared" si="10"/>
        <v>281</v>
      </c>
      <c r="S14" s="296">
        <f t="shared" si="11"/>
        <v>-0.5336897678101877</v>
      </c>
    </row>
    <row r="15" spans="1:19" ht="12.75">
      <c r="A15" s="84">
        <f>('Construct &amp; Scrutinize 79 tones'!B118*(A4/'Construct &amp; Scrutinize 79 tones'!B168))</f>
        <v>283.28091326227985</v>
      </c>
      <c r="B15" s="90" t="s">
        <v>16</v>
      </c>
      <c r="C15" s="32">
        <f t="shared" si="0"/>
        <v>1.2505552149377763E-12</v>
      </c>
      <c r="D15" s="105">
        <v>-0.6572602131592475</v>
      </c>
      <c r="E15" s="32">
        <f t="shared" si="1"/>
        <v>-0.5</v>
      </c>
      <c r="F15" s="85">
        <f t="shared" si="2"/>
        <v>283.5</v>
      </c>
      <c r="G15" s="297" t="s">
        <v>590</v>
      </c>
      <c r="H15" s="95">
        <f>(LOG10(F15/F6))*1200/(LOG10(2))</f>
        <v>136.53830808573417</v>
      </c>
      <c r="I15" s="32"/>
      <c r="J15" s="32">
        <f t="shared" si="3"/>
        <v>-7.5</v>
      </c>
      <c r="K15" s="144">
        <f t="shared" si="4"/>
        <v>4.5</v>
      </c>
      <c r="L15" s="144">
        <f t="shared" si="5"/>
        <v>-3.5</v>
      </c>
      <c r="M15" s="144">
        <f t="shared" si="6"/>
        <v>1.5</v>
      </c>
      <c r="N15" s="32">
        <f t="shared" si="7"/>
        <v>-13.5</v>
      </c>
      <c r="O15" s="32">
        <f t="shared" si="8"/>
        <v>-40.5</v>
      </c>
      <c r="P15" s="32">
        <f t="shared" si="9"/>
        <v>4.5</v>
      </c>
      <c r="Q15" s="47" t="s">
        <v>16</v>
      </c>
      <c r="R15" s="296">
        <f t="shared" si="10"/>
        <v>283.5</v>
      </c>
      <c r="S15" s="296">
        <f t="shared" si="11"/>
        <v>-0.6572602131592475</v>
      </c>
    </row>
    <row r="16" spans="1:19" ht="12.75">
      <c r="A16" s="84">
        <f>('Construct &amp; Scrutinize 79 tones'!B119*(A4/'Construct &amp; Scrutinize 79 tones'!B168))</f>
        <v>285.76125185324975</v>
      </c>
      <c r="B16" s="90" t="s">
        <v>17</v>
      </c>
      <c r="C16" s="32">
        <f t="shared" si="0"/>
        <v>0</v>
      </c>
      <c r="D16" s="105">
        <v>-0.7162444402514438</v>
      </c>
      <c r="E16" s="32">
        <f t="shared" si="1"/>
        <v>-0.5</v>
      </c>
      <c r="F16" s="85">
        <f t="shared" si="2"/>
        <v>286</v>
      </c>
      <c r="G16" s="297" t="s">
        <v>589</v>
      </c>
      <c r="H16" s="95">
        <f>(LOG10(F16/F6))*1200/(LOG10(2))</f>
        <v>151.73800228912688</v>
      </c>
      <c r="I16" s="32"/>
      <c r="J16" s="32">
        <f t="shared" si="3"/>
        <v>-8</v>
      </c>
      <c r="K16" s="144">
        <f t="shared" si="4"/>
        <v>5</v>
      </c>
      <c r="L16" s="144">
        <f t="shared" si="5"/>
        <v>-14</v>
      </c>
      <c r="M16" s="144">
        <f t="shared" si="6"/>
        <v>1.5</v>
      </c>
      <c r="N16" s="32">
        <f t="shared" si="7"/>
        <v>-13.5</v>
      </c>
      <c r="O16" s="32">
        <f t="shared" si="8"/>
        <v>-39.5</v>
      </c>
      <c r="P16" s="32">
        <f t="shared" si="9"/>
        <v>4</v>
      </c>
      <c r="Q16" s="47" t="s">
        <v>17</v>
      </c>
      <c r="R16" s="296">
        <f t="shared" si="10"/>
        <v>286</v>
      </c>
      <c r="S16" s="296">
        <f t="shared" si="11"/>
        <v>-0.7162444402514438</v>
      </c>
    </row>
    <row r="17" spans="1:19" ht="12.75">
      <c r="A17" s="84">
        <f>('Construct &amp; Scrutinize 79 tones'!B120*(A4/'Construct &amp; Scrutinize 79 tones'!B168))</f>
        <v>288.26330768402835</v>
      </c>
      <c r="B17" s="90" t="s">
        <v>18</v>
      </c>
      <c r="C17" s="32">
        <f t="shared" si="0"/>
        <v>0</v>
      </c>
      <c r="D17" s="105">
        <v>-0.7100769479156952</v>
      </c>
      <c r="E17" s="32">
        <f t="shared" si="1"/>
        <v>-0.5</v>
      </c>
      <c r="F17" s="85">
        <f t="shared" si="2"/>
        <v>288.5</v>
      </c>
      <c r="G17" s="297" t="s">
        <v>650</v>
      </c>
      <c r="H17" s="95">
        <f>(LOG10(F17/F6))*1200/(LOG10(2))</f>
        <v>166.8054085296385</v>
      </c>
      <c r="I17" s="32"/>
      <c r="J17" s="32">
        <f t="shared" si="3"/>
        <v>-7.5</v>
      </c>
      <c r="K17" s="144">
        <f t="shared" si="4"/>
        <v>4.5</v>
      </c>
      <c r="L17" s="144">
        <f t="shared" si="5"/>
        <v>-8.5</v>
      </c>
      <c r="M17" s="144">
        <f t="shared" si="6"/>
        <v>1.5</v>
      </c>
      <c r="N17" s="32">
        <f t="shared" si="7"/>
        <v>-13.5</v>
      </c>
      <c r="O17" s="32">
        <f t="shared" si="8"/>
        <v>-38.5</v>
      </c>
      <c r="P17" s="32">
        <f t="shared" si="9"/>
        <v>4.5</v>
      </c>
      <c r="Q17" s="47" t="s">
        <v>18</v>
      </c>
      <c r="R17" s="296">
        <f t="shared" si="10"/>
        <v>288.5</v>
      </c>
      <c r="S17" s="296">
        <f t="shared" si="11"/>
        <v>-0.7100769479156952</v>
      </c>
    </row>
    <row r="18" spans="1:19" ht="12.75">
      <c r="A18" s="86">
        <f>('Construct &amp; Scrutinize 79 tones'!B121*(A4/'Construct &amp; Scrutinize 79 tones'!B168))</f>
        <v>290.787270905465</v>
      </c>
      <c r="B18" s="90" t="s">
        <v>19</v>
      </c>
      <c r="C18" s="32">
        <f t="shared" si="0"/>
        <v>0</v>
      </c>
      <c r="D18" s="105">
        <v>-0.6381872836047933</v>
      </c>
      <c r="E18" s="32">
        <f t="shared" si="1"/>
        <v>-0.5</v>
      </c>
      <c r="F18" s="93">
        <f t="shared" si="2"/>
        <v>291</v>
      </c>
      <c r="G18" s="297" t="s">
        <v>652</v>
      </c>
      <c r="H18" s="95">
        <f>(LOG10(F18/F6))*1200/(LOG10(2))</f>
        <v>181.74280964500016</v>
      </c>
      <c r="I18" s="32"/>
      <c r="J18" s="32">
        <f t="shared" si="3"/>
        <v>-8</v>
      </c>
      <c r="K18" s="144">
        <f t="shared" si="4"/>
        <v>5</v>
      </c>
      <c r="L18" s="144">
        <f t="shared" si="5"/>
        <v>-3</v>
      </c>
      <c r="M18" s="144">
        <f t="shared" si="6"/>
        <v>0.6666666666649235</v>
      </c>
      <c r="N18" s="32">
        <f t="shared" si="7"/>
        <v>-13.5</v>
      </c>
      <c r="O18" s="32">
        <f t="shared" si="8"/>
        <v>-37.5</v>
      </c>
      <c r="P18" s="32">
        <f t="shared" si="9"/>
        <v>4</v>
      </c>
      <c r="Q18" s="47" t="s">
        <v>19</v>
      </c>
      <c r="R18" s="296">
        <f t="shared" si="10"/>
        <v>291</v>
      </c>
      <c r="S18" s="296">
        <f t="shared" si="11"/>
        <v>-0.6381872836047933</v>
      </c>
    </row>
    <row r="19" spans="1:19" ht="12.75">
      <c r="A19" s="82">
        <f>('Construct &amp; Scrutinize 79 tones'!B122*(A4/'Construct &amp; Scrutinize 79 tones'!B168))</f>
        <v>293.3333333333333</v>
      </c>
      <c r="B19" s="91" t="s">
        <v>353</v>
      </c>
      <c r="C19" s="104">
        <f t="shared" si="0"/>
        <v>0</v>
      </c>
      <c r="D19" s="105">
        <v>-0.5</v>
      </c>
      <c r="E19" s="104">
        <f t="shared" si="1"/>
        <v>-0.5</v>
      </c>
      <c r="F19" s="82">
        <f t="shared" si="2"/>
        <v>293.5</v>
      </c>
      <c r="G19" s="91" t="s">
        <v>653</v>
      </c>
      <c r="H19" s="96">
        <f>(LOG10(F19/F6))*1200/(LOG10(2))</f>
        <v>196.55242988712212</v>
      </c>
      <c r="I19" s="104"/>
      <c r="J19" s="104">
        <f t="shared" si="3"/>
        <v>-7.5</v>
      </c>
      <c r="K19" s="294">
        <f t="shared" si="4"/>
        <v>5.5</v>
      </c>
      <c r="L19" s="294">
        <f t="shared" si="5"/>
        <v>-13.5</v>
      </c>
      <c r="M19" s="294">
        <f t="shared" si="6"/>
        <v>1.5</v>
      </c>
      <c r="N19" s="104">
        <f t="shared" si="7"/>
        <v>-14.333333333335077</v>
      </c>
      <c r="O19" s="104">
        <f t="shared" si="8"/>
        <v>-36.5</v>
      </c>
      <c r="P19" s="104">
        <f t="shared" si="9"/>
        <v>4.5</v>
      </c>
      <c r="Q19" s="48" t="s">
        <v>353</v>
      </c>
      <c r="R19" s="296">
        <f t="shared" si="10"/>
        <v>293.5</v>
      </c>
      <c r="S19" s="296">
        <f t="shared" si="11"/>
        <v>-0.5</v>
      </c>
    </row>
    <row r="20" spans="1:19" ht="12.75">
      <c r="A20" s="85">
        <f>('Construct &amp; Scrutinize 79 tones'!B123*(A4/'Construct &amp; Scrutinize 79 tones'!B168))</f>
        <v>295.90168846290067</v>
      </c>
      <c r="B20" s="90" t="s">
        <v>21</v>
      </c>
      <c r="C20" s="32">
        <f t="shared" si="0"/>
        <v>1.3642420526593924E-12</v>
      </c>
      <c r="D20" s="105">
        <v>-0.29493461129663956</v>
      </c>
      <c r="E20" s="32">
        <f t="shared" si="1"/>
        <v>0</v>
      </c>
      <c r="F20" s="85">
        <f t="shared" si="2"/>
        <v>296</v>
      </c>
      <c r="G20" s="90" t="s">
        <v>656</v>
      </c>
      <c r="H20" s="95">
        <f>(LOG10(F20/F6))*1200/(LOG10(2))</f>
        <v>211.23643690979958</v>
      </c>
      <c r="I20" s="32"/>
      <c r="J20" s="32">
        <f t="shared" si="3"/>
        <v>-7</v>
      </c>
      <c r="K20" s="144">
        <f t="shared" si="4"/>
        <v>5</v>
      </c>
      <c r="L20" s="144">
        <f t="shared" si="5"/>
        <v>8</v>
      </c>
      <c r="M20" s="144">
        <f t="shared" si="6"/>
        <v>1.5</v>
      </c>
      <c r="N20" s="32">
        <f t="shared" si="7"/>
        <v>-13.5</v>
      </c>
      <c r="O20" s="32">
        <f t="shared" si="8"/>
        <v>-40.000000000009095</v>
      </c>
      <c r="P20" s="32">
        <f t="shared" si="9"/>
        <v>5</v>
      </c>
      <c r="Q20" s="47" t="s">
        <v>21</v>
      </c>
      <c r="R20" s="296">
        <f t="shared" si="10"/>
        <v>296</v>
      </c>
      <c r="S20" s="296">
        <f t="shared" si="11"/>
        <v>-0.29493461129663956</v>
      </c>
    </row>
    <row r="21" spans="1:19" ht="12.75">
      <c r="A21" s="84">
        <f>('Construct &amp; Scrutinize 79 tones'!B124*(A4/'Construct &amp; Scrutinize 79 tones'!B168))</f>
        <v>298.49253148361123</v>
      </c>
      <c r="B21" s="90" t="s">
        <v>22</v>
      </c>
      <c r="C21" s="32">
        <f t="shared" si="0"/>
        <v>1.1368683772161603E-12</v>
      </c>
      <c r="D21" s="105">
        <v>-0.7724055491651143</v>
      </c>
      <c r="E21" s="32">
        <f t="shared" si="1"/>
        <v>-0.75</v>
      </c>
      <c r="F21" s="85">
        <f t="shared" si="2"/>
        <v>298.75</v>
      </c>
      <c r="G21" s="90" t="s">
        <v>596</v>
      </c>
      <c r="H21" s="95">
        <f>(LOG10(F21/F6))*1200/(LOG10(2))</f>
        <v>227.24628159679278</v>
      </c>
      <c r="I21" s="32"/>
      <c r="J21" s="32">
        <f t="shared" si="3"/>
        <v>-8.75</v>
      </c>
      <c r="K21" s="144">
        <f t="shared" si="4"/>
        <v>5.25</v>
      </c>
      <c r="L21" s="144">
        <f t="shared" si="5"/>
        <v>-6.75</v>
      </c>
      <c r="M21" s="144">
        <f t="shared" si="6"/>
        <v>1.25</v>
      </c>
      <c r="N21" s="32">
        <f t="shared" si="7"/>
        <v>-15</v>
      </c>
      <c r="O21" s="32">
        <f t="shared" si="8"/>
        <v>-42.5</v>
      </c>
      <c r="P21" s="32">
        <f t="shared" si="9"/>
        <v>4.75</v>
      </c>
      <c r="Q21" s="47" t="s">
        <v>22</v>
      </c>
      <c r="R21" s="296">
        <f t="shared" si="10"/>
        <v>298.5</v>
      </c>
      <c r="S21" s="296">
        <f t="shared" si="11"/>
        <v>-0.02240554916511428</v>
      </c>
    </row>
    <row r="22" spans="1:19" ht="12.75">
      <c r="A22" s="84">
        <f>('Construct &amp; Scrutinize 79 tones'!B125*(A4/'Construct &amp; Scrutinize 79 tones'!B168))</f>
        <v>301.1060592939666</v>
      </c>
      <c r="B22" s="90" t="s">
        <v>23</v>
      </c>
      <c r="C22" s="32">
        <f t="shared" si="0"/>
        <v>0</v>
      </c>
      <c r="D22" s="105">
        <v>-0.4318221181007402</v>
      </c>
      <c r="E22" s="32">
        <f t="shared" si="1"/>
        <v>0.25</v>
      </c>
      <c r="F22" s="85">
        <f t="shared" si="2"/>
        <v>301.25</v>
      </c>
      <c r="G22" s="90" t="s">
        <v>597</v>
      </c>
      <c r="H22" s="95">
        <f>(LOG10(F22/F6))*1200/(LOG10(2))</f>
        <v>241.67331549584844</v>
      </c>
      <c r="I22" s="32"/>
      <c r="J22" s="32">
        <f t="shared" si="3"/>
        <v>-7.25</v>
      </c>
      <c r="K22" s="144">
        <f t="shared" si="4"/>
        <v>5.75</v>
      </c>
      <c r="L22" s="144">
        <f t="shared" si="5"/>
        <v>-1.25</v>
      </c>
      <c r="M22" s="144">
        <f t="shared" si="6"/>
        <v>1.25</v>
      </c>
      <c r="N22" s="32">
        <f t="shared" si="7"/>
        <v>-13.75</v>
      </c>
      <c r="O22" s="32">
        <f t="shared" si="8"/>
        <v>-41.5</v>
      </c>
      <c r="P22" s="32">
        <f>((F7*'Construct &amp; Scrutinize 79 tones'!B273)*4)-(F22*7)</f>
        <v>7.25</v>
      </c>
      <c r="Q22" s="47" t="s">
        <v>23</v>
      </c>
      <c r="R22" s="296">
        <f t="shared" si="10"/>
        <v>301.5</v>
      </c>
      <c r="S22" s="296">
        <f t="shared" si="11"/>
        <v>-1.1818221181007402</v>
      </c>
    </row>
    <row r="23" spans="1:19" ht="12.75">
      <c r="A23" s="84">
        <f>('Construct &amp; Scrutinize 79 tones'!B126*(A4/'Construct &amp; Scrutinize 79 tones'!B168))</f>
        <v>303.74247051645784</v>
      </c>
      <c r="B23" s="90" t="s">
        <v>24</v>
      </c>
      <c r="C23" s="32">
        <f t="shared" si="0"/>
        <v>0</v>
      </c>
      <c r="D23" s="105">
        <v>-0.7725884506271541</v>
      </c>
      <c r="E23" s="32">
        <f t="shared" si="1"/>
        <v>0</v>
      </c>
      <c r="F23" s="85">
        <f t="shared" si="2"/>
        <v>304</v>
      </c>
      <c r="G23" s="90" t="s">
        <v>654</v>
      </c>
      <c r="H23" s="95">
        <f>(LOG10(F23/F6))*1200/(LOG10(2))</f>
        <v>257.4054142873622</v>
      </c>
      <c r="I23" s="32"/>
      <c r="J23" s="32">
        <f t="shared" si="3"/>
        <v>-8</v>
      </c>
      <c r="K23" s="144">
        <f t="shared" si="4"/>
        <v>5</v>
      </c>
      <c r="L23" s="144">
        <f t="shared" si="5"/>
        <v>0</v>
      </c>
      <c r="M23" s="144">
        <f t="shared" si="6"/>
        <v>1</v>
      </c>
      <c r="N23" s="32">
        <f t="shared" si="7"/>
        <v>-15.25</v>
      </c>
      <c r="O23" s="32">
        <f t="shared" si="8"/>
        <v>-41.75</v>
      </c>
      <c r="P23" s="32">
        <f>((F8*'Construct &amp; Scrutinize 79 tones'!B273)*4)-(F23*7)</f>
        <v>6</v>
      </c>
      <c r="Q23" s="47" t="s">
        <v>24</v>
      </c>
      <c r="R23" s="296">
        <f t="shared" si="10"/>
        <v>304</v>
      </c>
      <c r="S23" s="296">
        <f t="shared" si="11"/>
        <v>-0.7725884506271541</v>
      </c>
    </row>
    <row r="24" spans="1:19" ht="12.75">
      <c r="A24" s="84">
        <f>('Construct &amp; Scrutinize 79 tones'!B127*(A4/'Construct &amp; Scrutinize 79 tones'!B168))</f>
        <v>306.4019655126539</v>
      </c>
      <c r="B24" s="90" t="s">
        <v>25</v>
      </c>
      <c r="C24" s="32">
        <f t="shared" si="0"/>
        <v>0</v>
      </c>
      <c r="D24" s="105">
        <v>-0.29410346203803783</v>
      </c>
      <c r="E24" s="32">
        <f t="shared" si="1"/>
        <v>0</v>
      </c>
      <c r="F24" s="85">
        <f t="shared" si="2"/>
        <v>306.5</v>
      </c>
      <c r="G24" s="90" t="s">
        <v>664</v>
      </c>
      <c r="H24" s="95">
        <f>(LOG10(F24/F6))*1200/(LOG10(2))</f>
        <v>271.58431458399735</v>
      </c>
      <c r="I24" s="32"/>
      <c r="J24" s="32">
        <f t="shared" si="3"/>
        <v>-7.5</v>
      </c>
      <c r="K24" s="144">
        <f t="shared" si="4"/>
        <v>6.5</v>
      </c>
      <c r="L24" s="144">
        <f t="shared" si="5"/>
        <v>5.5</v>
      </c>
      <c r="M24" s="144">
        <f t="shared" si="6"/>
        <v>2.25</v>
      </c>
      <c r="N24" s="32">
        <f t="shared" si="7"/>
        <v>-14</v>
      </c>
      <c r="O24" s="32">
        <f t="shared" si="8"/>
        <v>-40.75</v>
      </c>
      <c r="P24" s="32">
        <f>((F9*'Construct &amp; Scrutinize 79 tones'!B273)*4)-(F24*7)</f>
        <v>6.5</v>
      </c>
      <c r="Q24" s="47" t="s">
        <v>25</v>
      </c>
      <c r="R24" s="296">
        <f t="shared" si="10"/>
        <v>306.5</v>
      </c>
      <c r="S24" s="296">
        <f t="shared" si="11"/>
        <v>-0.29410346203803783</v>
      </c>
    </row>
    <row r="25" spans="1:19" ht="12.75">
      <c r="A25" s="84">
        <f>('Construct &amp; Scrutinize 79 tones'!B128*(A4/'Construct &amp; Scrutinize 79 tones'!B168))</f>
        <v>309.08474639844536</v>
      </c>
      <c r="B25" s="90" t="s">
        <v>26</v>
      </c>
      <c r="C25" s="32">
        <f t="shared" si="0"/>
        <v>0</v>
      </c>
      <c r="D25" s="105">
        <v>-0.49576080466363237</v>
      </c>
      <c r="E25" s="32">
        <f t="shared" si="1"/>
        <v>-0.25</v>
      </c>
      <c r="F25" s="85">
        <f t="shared" si="2"/>
        <v>309.25</v>
      </c>
      <c r="G25" s="90" t="s">
        <v>693</v>
      </c>
      <c r="H25" s="95">
        <f>(LOG10(F25/F6))*1200/(LOG10(2))</f>
        <v>287.0481401267034</v>
      </c>
      <c r="I25" s="32"/>
      <c r="J25" s="32">
        <f t="shared" si="3"/>
        <v>-7.25</v>
      </c>
      <c r="K25" s="144">
        <f t="shared" si="4"/>
        <v>5.75</v>
      </c>
      <c r="L25" s="290">
        <f t="shared" si="5"/>
        <v>102.75</v>
      </c>
      <c r="M25" s="144">
        <f t="shared" si="6"/>
        <v>0.75</v>
      </c>
      <c r="N25" s="32">
        <f t="shared" si="7"/>
        <v>-14.25</v>
      </c>
      <c r="O25" s="32">
        <f t="shared" si="8"/>
        <v>-41</v>
      </c>
      <c r="P25" s="32">
        <f>((F10*'Construct &amp; Scrutinize 79 tones'!B273)*4)-(F25*7)</f>
        <v>5.25</v>
      </c>
      <c r="Q25" s="47" t="s">
        <v>26</v>
      </c>
      <c r="R25" s="296">
        <f t="shared" si="10"/>
        <v>309.5</v>
      </c>
      <c r="S25" s="296">
        <f t="shared" si="11"/>
        <v>-1.2457608046636324</v>
      </c>
    </row>
    <row r="26" spans="1:19" ht="12.75">
      <c r="A26" s="84">
        <f>('Construct &amp; Scrutinize 79 tones'!B129*(A4/'Construct &amp; Scrutinize 79 tones'!B168))</f>
        <v>311.79101705941355</v>
      </c>
      <c r="B26" s="90" t="s">
        <v>27</v>
      </c>
      <c r="C26" s="32">
        <f t="shared" si="0"/>
        <v>1.1368683772161603E-12</v>
      </c>
      <c r="D26" s="105">
        <v>-0.6269488217582193</v>
      </c>
      <c r="E26" s="32">
        <f t="shared" si="1"/>
        <v>-0.4444444444460487</v>
      </c>
      <c r="F26" s="85">
        <f t="shared" si="2"/>
        <v>312</v>
      </c>
      <c r="G26" s="90" t="s">
        <v>663</v>
      </c>
      <c r="H26" s="95">
        <f>(LOG10(F26/F6))*1200/(LOG10(2))</f>
        <v>302.3750607897577</v>
      </c>
      <c r="I26" s="32"/>
      <c r="J26" s="290">
        <f aca="true" t="shared" si="12" ref="J26:J51">(F51*4)-(F26*5)</f>
        <v>-8</v>
      </c>
      <c r="K26" s="32">
        <f t="shared" si="4"/>
        <v>12</v>
      </c>
      <c r="L26" s="290">
        <f t="shared" si="5"/>
        <v>104</v>
      </c>
      <c r="M26" s="144">
        <f t="shared" si="6"/>
        <v>1.75</v>
      </c>
      <c r="N26" s="32">
        <f t="shared" si="7"/>
        <v>-15.75</v>
      </c>
      <c r="O26" s="32">
        <f t="shared" si="8"/>
        <v>-41.25</v>
      </c>
      <c r="P26" s="32">
        <f>((F11*'Construct &amp; Scrutinize 79 tones'!B273)*4)-(F26*7)</f>
        <v>6</v>
      </c>
      <c r="Q26" s="47" t="s">
        <v>27</v>
      </c>
      <c r="R26" s="296">
        <f t="shared" si="10"/>
        <v>312</v>
      </c>
      <c r="S26" s="296">
        <f t="shared" si="11"/>
        <v>-0.6269488217582193</v>
      </c>
    </row>
    <row r="27" spans="1:19" ht="12.75">
      <c r="A27" s="84">
        <f>('Construct &amp; Scrutinize 79 tones'!B130*(A4/'Construct &amp; Scrutinize 79 tones'!B168))</f>
        <v>314.52098316628116</v>
      </c>
      <c r="B27" s="90" t="s">
        <v>28</v>
      </c>
      <c r="C27" s="32">
        <f t="shared" si="0"/>
        <v>1.2505552149377763E-12</v>
      </c>
      <c r="D27" s="105">
        <v>-0.6870505011553405</v>
      </c>
      <c r="E27" s="32">
        <f t="shared" si="1"/>
        <v>-0.25</v>
      </c>
      <c r="F27" s="85">
        <f t="shared" si="2"/>
        <v>314.75</v>
      </c>
      <c r="G27" s="90" t="s">
        <v>655</v>
      </c>
      <c r="H27" s="95">
        <f>(LOG10(F27/F6))*1200/(LOG10(2))</f>
        <v>317.5674794178793</v>
      </c>
      <c r="I27" s="32"/>
      <c r="J27" s="144">
        <f t="shared" si="12"/>
        <v>-1.75</v>
      </c>
      <c r="K27" s="32">
        <f t="shared" si="4"/>
        <v>12.25</v>
      </c>
      <c r="L27" s="290">
        <f t="shared" si="5"/>
        <v>105.25</v>
      </c>
      <c r="M27" s="144">
        <f t="shared" si="6"/>
        <v>1.5</v>
      </c>
      <c r="N27" s="32">
        <f t="shared" si="7"/>
        <v>-14.75</v>
      </c>
      <c r="O27" s="32">
        <f t="shared" si="8"/>
        <v>-48.25</v>
      </c>
      <c r="P27" s="32">
        <f>((F12*'Construct &amp; Scrutinize 79 tones'!B273)*4)-(F27*7)</f>
        <v>6.75</v>
      </c>
      <c r="Q27" s="47" t="s">
        <v>28</v>
      </c>
      <c r="R27" s="296">
        <f t="shared" si="10"/>
        <v>315</v>
      </c>
      <c r="S27" s="296">
        <f t="shared" si="11"/>
        <v>-1.4370505011553405</v>
      </c>
    </row>
    <row r="28" spans="1:19" ht="12.75">
      <c r="A28" s="84">
        <f>('Construct &amp; Scrutinize 79 tones'!B131*(A4/'Construct &amp; Scrutinize 79 tones'!B168))</f>
        <v>317.27485219060725</v>
      </c>
      <c r="B28" s="90" t="s">
        <v>29</v>
      </c>
      <c r="C28" s="32">
        <f t="shared" si="0"/>
        <v>1.1368683772161603E-12</v>
      </c>
      <c r="D28" s="105">
        <v>-0.6754434281771182</v>
      </c>
      <c r="E28" s="32">
        <f t="shared" si="1"/>
        <v>-0.5</v>
      </c>
      <c r="F28" s="85">
        <f t="shared" si="2"/>
        <v>317.5</v>
      </c>
      <c r="G28" s="90" t="s">
        <v>665</v>
      </c>
      <c r="H28" s="95">
        <f>(LOG10(F28/F6))*1200/(LOG10(2))</f>
        <v>332.6277361464936</v>
      </c>
      <c r="I28" s="32"/>
      <c r="J28" s="144">
        <f t="shared" si="12"/>
        <v>-1.5</v>
      </c>
      <c r="K28" s="32">
        <f t="shared" si="4"/>
        <v>12.5</v>
      </c>
      <c r="L28" s="290">
        <f t="shared" si="5"/>
        <v>106.5</v>
      </c>
      <c r="M28" s="144">
        <f t="shared" si="6"/>
        <v>1.25</v>
      </c>
      <c r="N28" s="32">
        <f t="shared" si="7"/>
        <v>-15</v>
      </c>
      <c r="O28" s="32">
        <f t="shared" si="8"/>
        <v>-41.75</v>
      </c>
      <c r="P28" s="32">
        <f>((F13*'Construct &amp; Scrutinize 79 tones'!B273)*4)-(F28*7)</f>
        <v>5.5</v>
      </c>
      <c r="Q28" s="47" t="s">
        <v>29</v>
      </c>
      <c r="R28" s="296">
        <f t="shared" si="10"/>
        <v>317.5</v>
      </c>
      <c r="S28" s="296">
        <f t="shared" si="11"/>
        <v>-0.6754434281771182</v>
      </c>
    </row>
    <row r="29" spans="1:19" ht="12.75">
      <c r="A29" s="84">
        <f>('Construct &amp; Scrutinize 79 tones'!B132*(A4/'Construct &amp; Scrutinize 79 tones'!B168))</f>
        <v>320.0528334205097</v>
      </c>
      <c r="B29" s="90" t="s">
        <v>30</v>
      </c>
      <c r="C29" s="32">
        <f t="shared" si="0"/>
        <v>0</v>
      </c>
      <c r="D29" s="105">
        <v>-0.5914997384716116</v>
      </c>
      <c r="E29" s="32">
        <f t="shared" si="1"/>
        <v>-0.25</v>
      </c>
      <c r="F29" s="85">
        <f t="shared" si="2"/>
        <v>320.25</v>
      </c>
      <c r="G29" s="90" t="s">
        <v>666</v>
      </c>
      <c r="H29" s="95">
        <f>(LOG10(F29/F6))*1200/(LOG10(2))</f>
        <v>347.55811056503546</v>
      </c>
      <c r="I29" s="32"/>
      <c r="J29" s="144">
        <f t="shared" si="12"/>
        <v>-1.25</v>
      </c>
      <c r="K29" s="32">
        <f t="shared" si="4"/>
        <v>12.75</v>
      </c>
      <c r="L29" s="290">
        <f t="shared" si="5"/>
        <v>107.75</v>
      </c>
      <c r="M29" s="144">
        <f t="shared" si="6"/>
        <v>2.25</v>
      </c>
      <c r="N29" s="32">
        <f t="shared" si="7"/>
        <v>-15.25</v>
      </c>
      <c r="O29" s="32">
        <f t="shared" si="8"/>
        <v>-42</v>
      </c>
      <c r="P29" s="32">
        <f>((F14*'Construct &amp; Scrutinize 79 tones'!B273)*4)-(F29*7)</f>
        <v>6.25</v>
      </c>
      <c r="Q29" s="47" t="s">
        <v>30</v>
      </c>
      <c r="R29" s="296">
        <f t="shared" si="10"/>
        <v>320.5</v>
      </c>
      <c r="S29" s="296">
        <f t="shared" si="11"/>
        <v>-1.3414997384716116</v>
      </c>
    </row>
    <row r="30" spans="1:19" ht="12.75">
      <c r="A30" s="84">
        <f>('Construct &amp; Scrutinize 79 tones'!B133*(A4/'Construct &amp; Scrutinize 79 tones'!B168))</f>
        <v>322.85513797658035</v>
      </c>
      <c r="B30" s="90" t="s">
        <v>31</v>
      </c>
      <c r="C30" s="32">
        <f t="shared" si="0"/>
        <v>0</v>
      </c>
      <c r="D30" s="105">
        <v>-0.43458607025979745</v>
      </c>
      <c r="E30" s="32">
        <f t="shared" si="1"/>
        <v>0</v>
      </c>
      <c r="F30" s="85">
        <f t="shared" si="2"/>
        <v>323</v>
      </c>
      <c r="G30" s="90" t="s">
        <v>667</v>
      </c>
      <c r="H30" s="95">
        <f>(LOG10(F30/F6))*1200/(LOG10(2))</f>
        <v>362.3608237877697</v>
      </c>
      <c r="I30" s="32"/>
      <c r="J30" s="144">
        <f t="shared" si="12"/>
        <v>-1</v>
      </c>
      <c r="K30" s="32">
        <f t="shared" si="4"/>
        <v>13</v>
      </c>
      <c r="L30" s="290">
        <f t="shared" si="5"/>
        <v>109</v>
      </c>
      <c r="M30" s="144">
        <f t="shared" si="6"/>
        <v>2</v>
      </c>
      <c r="N30" s="32">
        <f t="shared" si="7"/>
        <v>-14.25</v>
      </c>
      <c r="O30" s="32">
        <f t="shared" si="8"/>
        <v>-42.25</v>
      </c>
      <c r="P30" s="32">
        <f>((F15*'Construct &amp; Scrutinize 79 tones'!B273)*4)-(F30*7)</f>
        <v>7</v>
      </c>
      <c r="Q30" s="47" t="s">
        <v>31</v>
      </c>
      <c r="R30" s="296">
        <f t="shared" si="10"/>
        <v>323</v>
      </c>
      <c r="S30" s="296">
        <f t="shared" si="11"/>
        <v>-0.43458607025979745</v>
      </c>
    </row>
    <row r="31" spans="1:19" ht="12.75">
      <c r="A31" s="86">
        <f>('Construct &amp; Scrutinize 79 tones'!B134*(A4/'Construct &amp; Scrutinize 79 tones'!B168))</f>
        <v>325.6819788279254</v>
      </c>
      <c r="B31" s="90" t="s">
        <v>32</v>
      </c>
      <c r="C31" s="32">
        <f t="shared" si="0"/>
        <v>0</v>
      </c>
      <c r="D31" s="105">
        <v>-0.9540635162236413</v>
      </c>
      <c r="E31" s="32">
        <f t="shared" si="1"/>
        <v>-0.5</v>
      </c>
      <c r="F31" s="93">
        <f t="shared" si="2"/>
        <v>326</v>
      </c>
      <c r="G31" s="90" t="s">
        <v>668</v>
      </c>
      <c r="H31" s="95">
        <f>(LOG10(F31/F6))*1200/(LOG10(2))</f>
        <v>378.3661832323527</v>
      </c>
      <c r="I31" s="32"/>
      <c r="J31" s="144">
        <f t="shared" si="12"/>
        <v>-2</v>
      </c>
      <c r="K31" s="32">
        <f t="shared" si="4"/>
        <v>12</v>
      </c>
      <c r="L31" s="290">
        <f t="shared" si="5"/>
        <v>90</v>
      </c>
      <c r="M31" s="290">
        <f t="shared" si="6"/>
        <v>9</v>
      </c>
      <c r="N31" s="32">
        <f t="shared" si="7"/>
        <v>-16</v>
      </c>
      <c r="O31" s="32">
        <f t="shared" si="8"/>
        <v>-43.75</v>
      </c>
      <c r="P31" s="32">
        <f>((F16*'Construct &amp; Scrutinize 79 tones'!B273)*4)-(F31*7)</f>
        <v>6</v>
      </c>
      <c r="Q31" s="47" t="s">
        <v>32</v>
      </c>
      <c r="R31" s="296">
        <f t="shared" si="10"/>
        <v>326</v>
      </c>
      <c r="S31" s="296">
        <f t="shared" si="11"/>
        <v>-0.9540635162236413</v>
      </c>
    </row>
    <row r="32" spans="1:19" ht="12.75">
      <c r="A32" s="82">
        <f>('Construct &amp; Scrutinize 79 tones'!B135*(A4/'Construct &amp; Scrutinize 79 tones'!B168))</f>
        <v>328.53357080836344</v>
      </c>
      <c r="B32" s="91" t="s">
        <v>354</v>
      </c>
      <c r="C32" s="104">
        <f t="shared" si="0"/>
        <v>0</v>
      </c>
      <c r="D32" s="105">
        <v>-0.6492875749096356</v>
      </c>
      <c r="E32" s="104">
        <f t="shared" si="1"/>
        <v>-0.75</v>
      </c>
      <c r="F32" s="82">
        <f t="shared" si="2"/>
        <v>328.75</v>
      </c>
      <c r="G32" s="91" t="s">
        <v>586</v>
      </c>
      <c r="H32" s="96">
        <f>(LOG10(F32/F6))*1200/(LOG10(2))</f>
        <v>392.9088991706575</v>
      </c>
      <c r="I32" s="104"/>
      <c r="J32" s="294">
        <f t="shared" si="12"/>
        <v>-1.75</v>
      </c>
      <c r="K32" s="104">
        <f t="shared" si="4"/>
        <v>12.25</v>
      </c>
      <c r="L32" s="295">
        <f t="shared" si="5"/>
        <v>107.25</v>
      </c>
      <c r="M32" s="104">
        <f t="shared" si="6"/>
        <v>10</v>
      </c>
      <c r="N32" s="294">
        <f t="shared" si="7"/>
        <v>-7.5</v>
      </c>
      <c r="O32" s="104">
        <f t="shared" si="8"/>
        <v>-44</v>
      </c>
      <c r="P32" s="104">
        <f>((F17*'Construct &amp; Scrutinize 79 tones'!B273)*4)-(F32*7)</f>
        <v>6.75</v>
      </c>
      <c r="Q32" s="48" t="s">
        <v>354</v>
      </c>
      <c r="R32" s="296">
        <v>328.75</v>
      </c>
      <c r="S32" s="296">
        <f t="shared" si="11"/>
        <v>-0.6492875749096356</v>
      </c>
    </row>
    <row r="33" spans="1:19" ht="12.75">
      <c r="A33" s="85">
        <f>('Construct &amp; Scrutinize 79 tones'!B136*(A4/'Construct &amp; Scrutinize 79 tones'!B168))</f>
        <v>331.4101306327523</v>
      </c>
      <c r="B33" s="90" t="s">
        <v>34</v>
      </c>
      <c r="C33" s="32">
        <f t="shared" si="0"/>
        <v>1.1368683772161603E-12</v>
      </c>
      <c r="D33" s="105">
        <v>-1.0196081017418237</v>
      </c>
      <c r="E33" s="32">
        <f t="shared" si="1"/>
        <v>-0.75</v>
      </c>
      <c r="F33" s="85">
        <f t="shared" si="2"/>
        <v>331.75</v>
      </c>
      <c r="G33" s="90" t="s">
        <v>598</v>
      </c>
      <c r="H33" s="95">
        <f>(LOG10(F33/F6))*1200/(LOG10(2))</f>
        <v>408.63558459929163</v>
      </c>
      <c r="I33" s="32"/>
      <c r="J33" s="144">
        <f t="shared" si="12"/>
        <v>-2.75</v>
      </c>
      <c r="K33" s="32">
        <f t="shared" si="4"/>
        <v>12.25</v>
      </c>
      <c r="L33" s="290">
        <f t="shared" si="5"/>
        <v>88.25</v>
      </c>
      <c r="M33" s="32">
        <f t="shared" si="6"/>
        <v>9.5</v>
      </c>
      <c r="N33" s="144">
        <f t="shared" si="7"/>
        <v>-8</v>
      </c>
      <c r="O33" s="144">
        <f t="shared" si="8"/>
        <v>-5</v>
      </c>
      <c r="P33" s="32">
        <f>((F18*'Construct &amp; Scrutinize 79 tones'!B273)*4)-(F33*7)</f>
        <v>5.75</v>
      </c>
      <c r="Q33" s="47" t="s">
        <v>34</v>
      </c>
      <c r="R33" s="296">
        <v>331.75</v>
      </c>
      <c r="S33" s="296">
        <f t="shared" si="11"/>
        <v>-1.0196081017418237</v>
      </c>
    </row>
    <row r="34" spans="1:19" ht="12.75">
      <c r="A34" s="84">
        <f>('Construct &amp; Scrutinize 79 tones'!B137*(A4/'Construct &amp; Scrutinize 79 tones'!B168))</f>
        <v>334.31187691342717</v>
      </c>
      <c r="B34" s="90" t="s">
        <v>35</v>
      </c>
      <c r="C34" s="32">
        <f t="shared" si="0"/>
        <v>1.2505552149377763E-12</v>
      </c>
      <c r="D34" s="105">
        <v>-0.5643692597171821</v>
      </c>
      <c r="E34" s="32">
        <f t="shared" si="1"/>
        <v>-0.5</v>
      </c>
      <c r="F34" s="85">
        <f t="shared" si="2"/>
        <v>334.5</v>
      </c>
      <c r="G34" s="90" t="s">
        <v>669</v>
      </c>
      <c r="H34" s="95">
        <f>(LOG10(F34/F6))*1200/(LOG10(2))</f>
        <v>422.9272789248129</v>
      </c>
      <c r="I34" s="32"/>
      <c r="J34" s="144">
        <f t="shared" si="12"/>
        <v>-1.5</v>
      </c>
      <c r="K34" s="32">
        <f t="shared" si="4"/>
        <v>12.5</v>
      </c>
      <c r="L34" s="290">
        <f t="shared" si="5"/>
        <v>105.5</v>
      </c>
      <c r="M34" s="32">
        <f t="shared" si="6"/>
        <v>10.5</v>
      </c>
      <c r="N34" s="144">
        <f t="shared" si="7"/>
        <v>-7</v>
      </c>
      <c r="O34" s="144">
        <f t="shared" si="8"/>
        <v>1.5</v>
      </c>
      <c r="P34" s="32">
        <f>((F19*'Construct &amp; Scrutinize 79 tones'!B273)*4)-(F34*7)</f>
        <v>6.5</v>
      </c>
      <c r="Q34" s="47" t="s">
        <v>35</v>
      </c>
      <c r="R34" s="296">
        <f t="shared" si="10"/>
        <v>334.5</v>
      </c>
      <c r="S34" s="296">
        <f t="shared" si="11"/>
        <v>-0.5643692597171821</v>
      </c>
    </row>
    <row r="35" spans="1:19" ht="12.75">
      <c r="A35" s="84">
        <f>('Construct &amp; Scrutinize 79 tones'!B138*(A4/'Construct &amp; Scrutinize 79 tones'!B168))</f>
        <v>337.23903017686854</v>
      </c>
      <c r="B35" s="90" t="s">
        <v>36</v>
      </c>
      <c r="C35" s="32">
        <f t="shared" si="0"/>
        <v>1.3642420526593924E-12</v>
      </c>
      <c r="D35" s="105">
        <v>-0.7829094693929619</v>
      </c>
      <c r="E35" s="32">
        <f t="shared" si="1"/>
        <v>-0.5</v>
      </c>
      <c r="F35" s="85">
        <f t="shared" si="2"/>
        <v>337.5</v>
      </c>
      <c r="G35" s="90" t="s">
        <v>670</v>
      </c>
      <c r="H35" s="95">
        <f>(LOG10(F35/F6))*1200/(LOG10(2))</f>
        <v>438.38482848089143</v>
      </c>
      <c r="I35" s="32"/>
      <c r="J35" s="144">
        <f t="shared" si="12"/>
        <v>-2.5</v>
      </c>
      <c r="K35" s="32">
        <f t="shared" si="4"/>
        <v>12.5</v>
      </c>
      <c r="L35" s="290">
        <f t="shared" si="5"/>
        <v>102.5</v>
      </c>
      <c r="M35" s="32">
        <f t="shared" si="6"/>
        <v>10</v>
      </c>
      <c r="N35" s="144">
        <f t="shared" si="7"/>
        <v>-7.5</v>
      </c>
      <c r="O35" s="144">
        <f t="shared" si="8"/>
        <v>0</v>
      </c>
      <c r="P35" s="32">
        <f>((F20*'Construct &amp; Scrutinize 79 tones'!B273)*4)-(F35*7)</f>
        <v>5.5</v>
      </c>
      <c r="Q35" s="47" t="s">
        <v>36</v>
      </c>
      <c r="R35" s="296">
        <f t="shared" si="10"/>
        <v>337.5</v>
      </c>
      <c r="S35" s="296">
        <f t="shared" si="11"/>
        <v>-0.7829094693929619</v>
      </c>
    </row>
    <row r="36" spans="1:19" ht="12.75">
      <c r="A36" s="84">
        <f>('Construct &amp; Scrutinize 79 tones'!B139*(A4/'Construct &amp; Scrutinize 79 tones'!B168))</f>
        <v>340.1918128804294</v>
      </c>
      <c r="B36" s="90" t="s">
        <v>37</v>
      </c>
      <c r="C36" s="32">
        <f t="shared" si="0"/>
        <v>0</v>
      </c>
      <c r="D36" s="105">
        <v>-0.9245613587125945</v>
      </c>
      <c r="E36" s="32">
        <f t="shared" si="1"/>
        <v>-1</v>
      </c>
      <c r="F36" s="85">
        <f t="shared" si="2"/>
        <v>340.5</v>
      </c>
      <c r="G36" s="90" t="s">
        <v>599</v>
      </c>
      <c r="H36" s="95">
        <f>(LOG10(F36/F6))*1200/(LOG10(2))</f>
        <v>453.7055837695451</v>
      </c>
      <c r="I36" s="32"/>
      <c r="J36" s="144">
        <f t="shared" si="12"/>
        <v>-2.5</v>
      </c>
      <c r="K36" s="32">
        <f t="shared" si="4"/>
        <v>12.5</v>
      </c>
      <c r="L36" s="290">
        <f t="shared" si="5"/>
        <v>99.5</v>
      </c>
      <c r="M36" s="32">
        <f t="shared" si="6"/>
        <v>9.5</v>
      </c>
      <c r="N36" s="144">
        <f t="shared" si="7"/>
        <v>-8</v>
      </c>
      <c r="O36" s="144">
        <f t="shared" si="8"/>
        <v>-1.5</v>
      </c>
      <c r="P36" s="32">
        <f>((F21*'Construct &amp; Scrutinize 79 tones'!B273)*4)-(F36*7)</f>
        <v>6.5</v>
      </c>
      <c r="Q36" s="47" t="s">
        <v>37</v>
      </c>
      <c r="R36" s="296">
        <f t="shared" si="10"/>
        <v>340.5</v>
      </c>
      <c r="S36" s="296">
        <f t="shared" si="11"/>
        <v>-0.9245613587125945</v>
      </c>
    </row>
    <row r="37" spans="1:19" ht="12.75">
      <c r="A37" s="84">
        <f>('Construct &amp; Scrutinize 79 tones'!B140*(A4/'Construct &amp; Scrutinize 79 tones'!B168))</f>
        <v>343.1704494292272</v>
      </c>
      <c r="B37" s="90" t="s">
        <v>38</v>
      </c>
      <c r="C37" s="32">
        <f t="shared" si="0"/>
        <v>0</v>
      </c>
      <c r="D37" s="105">
        <v>-0.9886517123184149</v>
      </c>
      <c r="E37" s="32">
        <f t="shared" si="1"/>
        <v>-1</v>
      </c>
      <c r="F37" s="85">
        <f t="shared" si="2"/>
        <v>343.5</v>
      </c>
      <c r="G37" s="90" t="s">
        <v>671</v>
      </c>
      <c r="H37" s="95">
        <f>(LOG10(F37/F6))*1200/(LOG10(2))</f>
        <v>468.89194473678</v>
      </c>
      <c r="I37" s="32"/>
      <c r="J37" s="144">
        <f t="shared" si="12"/>
        <v>-2.5</v>
      </c>
      <c r="K37" s="32">
        <f t="shared" si="4"/>
        <v>12.5</v>
      </c>
      <c r="L37" s="290">
        <f t="shared" si="5"/>
        <v>96.5</v>
      </c>
      <c r="M37" s="32">
        <f t="shared" si="6"/>
        <v>9</v>
      </c>
      <c r="N37" s="144">
        <f t="shared" si="7"/>
        <v>-8.5</v>
      </c>
      <c r="O37" s="144">
        <f t="shared" si="8"/>
        <v>-3</v>
      </c>
      <c r="P37" s="32">
        <f>((F22*'Construct &amp; Scrutinize 79 tones'!B273)*4)-(F37*7)</f>
        <v>5.5</v>
      </c>
      <c r="Q37" s="47" t="s">
        <v>38</v>
      </c>
      <c r="R37" s="296">
        <f t="shared" si="10"/>
        <v>343.5</v>
      </c>
      <c r="S37" s="296">
        <f t="shared" si="11"/>
        <v>-0.9886517123184149</v>
      </c>
    </row>
    <row r="38" spans="1:19" ht="12.75">
      <c r="A38" s="86">
        <f>('Construct &amp; Scrutinize 79 tones'!B141*(A4/'Construct &amp; Scrutinize 79 tones'!B168))</f>
        <v>346.17516619322305</v>
      </c>
      <c r="B38" s="90" t="s">
        <v>39</v>
      </c>
      <c r="C38" s="32">
        <f>(A84*2)-(A38*3)</f>
        <v>0</v>
      </c>
      <c r="D38" s="105">
        <v>-0.9745014203306255</v>
      </c>
      <c r="E38" s="32">
        <f t="shared" si="1"/>
        <v>-1</v>
      </c>
      <c r="F38" s="93">
        <f>(D38-(A84*2))/-3</f>
        <v>346.5</v>
      </c>
      <c r="G38" s="90" t="s">
        <v>600</v>
      </c>
      <c r="H38" s="95">
        <f>(LOG10(F38/F6))*1200/(LOG10(2))</f>
        <v>483.9462487197161</v>
      </c>
      <c r="I38" s="32"/>
      <c r="J38" s="144">
        <f t="shared" si="12"/>
        <v>-2.5</v>
      </c>
      <c r="K38" s="32">
        <f aca="true" t="shared" si="13" ref="K38:K59">(F64*4)-(F38*5)</f>
        <v>12.5</v>
      </c>
      <c r="L38" s="290">
        <f aca="true" t="shared" si="14" ref="L38:L58">(F65*64)-(F38*81)</f>
        <v>93.5</v>
      </c>
      <c r="M38" s="32">
        <f aca="true" t="shared" si="15" ref="M38:M64">(F59*5)-(F38*6)</f>
        <v>9.75</v>
      </c>
      <c r="N38" s="144">
        <f aca="true" t="shared" si="16" ref="N38:N65">(F58*5)-(F38*6)</f>
        <v>-9</v>
      </c>
      <c r="O38" s="144">
        <f aca="true" t="shared" si="17" ref="O38:O66">(F57*27)-(F38*32)</f>
        <v>-4.5</v>
      </c>
      <c r="P38" s="32">
        <f>((F23*'Construct &amp; Scrutinize 79 tones'!B273)*4)-(F38*7)</f>
        <v>6.5</v>
      </c>
      <c r="Q38" s="47" t="s">
        <v>39</v>
      </c>
      <c r="R38" s="296">
        <f aca="true" t="shared" si="18" ref="R38:R69">CEILING(A38,0.5)</f>
        <v>346.5</v>
      </c>
      <c r="S38" s="296">
        <f t="shared" si="11"/>
        <v>-0.9745014203306255</v>
      </c>
    </row>
    <row r="39" spans="1:19" ht="12.75">
      <c r="A39" s="82">
        <f>('Construct &amp; Scrutinize 79 tones'!B142*(A4/'Construct &amp; Scrutinize 79 tones'!B168))</f>
        <v>349.2061915244349</v>
      </c>
      <c r="B39" s="91" t="s">
        <v>355</v>
      </c>
      <c r="C39" s="104">
        <f>(A85*2)-(A39*3)</f>
        <v>0</v>
      </c>
      <c r="D39" s="105">
        <v>-0.3814254266928856</v>
      </c>
      <c r="E39" s="104">
        <f t="shared" si="1"/>
        <v>0</v>
      </c>
      <c r="F39" s="82">
        <f>(D39-(A85*2))/-3</f>
        <v>349.333333333333</v>
      </c>
      <c r="G39" s="91" t="s">
        <v>672</v>
      </c>
      <c r="H39" s="96">
        <f>(LOG10(F39/F6))*1200/(LOG10(2))</f>
        <v>498.0449991346107</v>
      </c>
      <c r="I39" s="104"/>
      <c r="J39" s="294">
        <f t="shared" si="12"/>
        <v>-1.6666666666649235</v>
      </c>
      <c r="K39" s="104">
        <f t="shared" si="13"/>
        <v>13.333333333335077</v>
      </c>
      <c r="L39" s="295">
        <f t="shared" si="14"/>
        <v>120.0000000000291</v>
      </c>
      <c r="M39" s="104">
        <f t="shared" si="15"/>
        <v>10.250000000002274</v>
      </c>
      <c r="N39" s="294">
        <f t="shared" si="16"/>
        <v>-7.249999999997726</v>
      </c>
      <c r="O39" s="294">
        <f t="shared" si="17"/>
        <v>-0.6666666666551464</v>
      </c>
      <c r="P39" s="104">
        <f>((F24*'Construct &amp; Scrutinize 79 tones'!B273)*4)-(F39*7)</f>
        <v>6.666666666669244</v>
      </c>
      <c r="Q39" s="48" t="s">
        <v>355</v>
      </c>
      <c r="R39" s="296">
        <f>CEILING(A39,0.333333333333333)</f>
        <v>349.333333333333</v>
      </c>
      <c r="S39" s="296">
        <f t="shared" si="11"/>
        <v>-0.3814254266928856</v>
      </c>
    </row>
    <row r="40" spans="1:19" ht="12.75">
      <c r="A40" s="85">
        <f>('Construct &amp; Scrutinize 79 tones'!B143*(A4/'Construct &amp; Scrutinize 79 tones'!B168))</f>
        <v>352.26375577423613</v>
      </c>
      <c r="B40" s="90" t="s">
        <v>41</v>
      </c>
      <c r="C40" s="32">
        <f aca="true" t="shared" si="19" ref="C40:C85">(A89*2)-(A40*3)</f>
        <v>3.2514435588382185E-11</v>
      </c>
      <c r="D40" s="105">
        <v>-0.7087326772591496</v>
      </c>
      <c r="E40" s="32">
        <f>((F7*'Construct &amp; Scrutinize 79 tones'!B273)*2)-(F40*3)</f>
        <v>0.5</v>
      </c>
      <c r="F40" s="85">
        <f aca="true" t="shared" si="20" ref="F40:F85">(D40-(A89*2))/-3</f>
        <v>352.5</v>
      </c>
      <c r="G40" s="90" t="s">
        <v>673</v>
      </c>
      <c r="H40" s="95">
        <f>(LOG10(F40/F6))*1200/(LOG10(2))</f>
        <v>513.667734898447</v>
      </c>
      <c r="I40" s="32">
        <f>(F7*'Construct &amp; Scrutinize 79 tones'!B273)*2-(F40*3)</f>
        <v>0.5</v>
      </c>
      <c r="J40" s="144">
        <f t="shared" si="12"/>
        <v>-2.5</v>
      </c>
      <c r="K40" s="32">
        <f t="shared" si="13"/>
        <v>13.5</v>
      </c>
      <c r="L40" s="290">
        <f t="shared" si="14"/>
        <v>103.5</v>
      </c>
      <c r="M40" s="32">
        <f t="shared" si="15"/>
        <v>10</v>
      </c>
      <c r="N40" s="144">
        <f t="shared" si="16"/>
        <v>-8.75</v>
      </c>
      <c r="O40" s="144">
        <f t="shared" si="17"/>
        <v>-0.75</v>
      </c>
      <c r="P40" s="32">
        <f>((F25*'Construct &amp; Scrutinize 79 tones'!B273)*4)-(F40*7)</f>
        <v>6.5</v>
      </c>
      <c r="Q40" s="47" t="s">
        <v>41</v>
      </c>
      <c r="R40" s="296">
        <v>352.5</v>
      </c>
      <c r="S40" s="296">
        <f aca="true" t="shared" si="21" ref="S40:S85">(R40*-3)+A89*2</f>
        <v>-0.7087326772591496</v>
      </c>
    </row>
    <row r="41" spans="1:19" ht="12.75">
      <c r="A41" s="84">
        <f>('Construct &amp; Scrutinize 79 tones'!B144*(A4/'Construct &amp; Scrutinize 79 tones'!B168))</f>
        <v>355.3480913109405</v>
      </c>
      <c r="B41" s="90" t="s">
        <v>42</v>
      </c>
      <c r="C41" s="32">
        <f t="shared" si="19"/>
        <v>3.296918293926865E-11</v>
      </c>
      <c r="D41" s="105">
        <v>-0.45572606714563335</v>
      </c>
      <c r="E41" s="32">
        <f>((F8*'Construct &amp; Scrutinize 79 tones'!B273)*2)-(F41*3)</f>
        <v>0.5</v>
      </c>
      <c r="F41" s="85">
        <f t="shared" si="20"/>
        <v>355.5</v>
      </c>
      <c r="G41" s="90" t="s">
        <v>674</v>
      </c>
      <c r="H41" s="95">
        <f>(LOG10(F41/F6))*1200/(LOG10(2))</f>
        <v>528.339297698358</v>
      </c>
      <c r="I41" s="32">
        <f>(F8*'Construct &amp; Scrutinize 79 tones'!B273)*2-(F41*3)</f>
        <v>0.5</v>
      </c>
      <c r="J41" s="144">
        <f t="shared" si="12"/>
        <v>-1.5</v>
      </c>
      <c r="K41" s="32">
        <f t="shared" si="13"/>
        <v>13.5</v>
      </c>
      <c r="L41" s="290">
        <f t="shared" si="14"/>
        <v>132.5</v>
      </c>
      <c r="M41" s="32">
        <f t="shared" si="15"/>
        <v>10.75</v>
      </c>
      <c r="N41" s="144">
        <f t="shared" si="16"/>
        <v>-8</v>
      </c>
      <c r="O41" s="144">
        <f t="shared" si="17"/>
        <v>-2.25</v>
      </c>
      <c r="P41" s="32">
        <f>((F26*'Construct &amp; Scrutinize 79 tones'!B273)*4)-(F41*7)</f>
        <v>7.5</v>
      </c>
      <c r="Q41" s="47" t="s">
        <v>42</v>
      </c>
      <c r="R41" s="296">
        <v>355.5</v>
      </c>
      <c r="S41" s="296">
        <f t="shared" si="21"/>
        <v>-0.45572606714563335</v>
      </c>
    </row>
    <row r="42" spans="1:19" ht="12.75">
      <c r="A42" s="84">
        <f>('Construct &amp; Scrutinize 79 tones'!B145*(A4/'Construct &amp; Scrutinize 79 tones'!B168))</f>
        <v>358.4594325374119</v>
      </c>
      <c r="B42" s="90" t="s">
        <v>43</v>
      </c>
      <c r="C42" s="32">
        <f t="shared" si="19"/>
        <v>2.8421709430404007E-11</v>
      </c>
      <c r="D42" s="105">
        <v>-0.8717023877359225</v>
      </c>
      <c r="E42" s="32">
        <f>((F9*'Construct &amp; Scrutinize 79 tones'!B273)*2)-(F42*3)</f>
        <v>-0.25</v>
      </c>
      <c r="F42" s="85">
        <f t="shared" si="20"/>
        <v>358.75</v>
      </c>
      <c r="G42" s="90" t="s">
        <v>601</v>
      </c>
      <c r="H42" s="95">
        <f>(LOG10(F42/F6))*1200/(LOG10(2))</f>
        <v>544.0944240307199</v>
      </c>
      <c r="I42" s="32">
        <f>(F9*'Construct &amp; Scrutinize 79 tones'!B273)*2-(F42*3)</f>
        <v>-0.25</v>
      </c>
      <c r="J42" s="144">
        <f t="shared" si="12"/>
        <v>-2.75</v>
      </c>
      <c r="K42" s="32">
        <f t="shared" si="13"/>
        <v>14.25</v>
      </c>
      <c r="L42" s="290">
        <f t="shared" si="14"/>
        <v>125.25</v>
      </c>
      <c r="M42" s="32">
        <f t="shared" si="15"/>
        <v>10</v>
      </c>
      <c r="N42" s="144">
        <f t="shared" si="16"/>
        <v>-8.75</v>
      </c>
      <c r="O42" s="144">
        <f t="shared" si="17"/>
        <v>-5</v>
      </c>
      <c r="P42" s="32">
        <f>((F27*'Construct &amp; Scrutinize 79 tones'!B273)*4)-(F42*7)</f>
        <v>6.75</v>
      </c>
      <c r="Q42" s="47" t="s">
        <v>43</v>
      </c>
      <c r="R42" s="296">
        <f t="shared" si="18"/>
        <v>358.5</v>
      </c>
      <c r="S42" s="296">
        <f t="shared" si="21"/>
        <v>-0.12170238773592246</v>
      </c>
    </row>
    <row r="43" spans="1:19" ht="12.75">
      <c r="A43" s="84">
        <f>('Construct &amp; Scrutinize 79 tones'!B146*(A4/'Construct &amp; Scrutinize 79 tones'!B168))</f>
        <v>361.5980159088838</v>
      </c>
      <c r="B43" s="90" t="s">
        <v>44</v>
      </c>
      <c r="C43" s="32">
        <f t="shared" si="19"/>
        <v>3.092281986027956E-11</v>
      </c>
      <c r="D43" s="105">
        <v>-0.4559522733177346</v>
      </c>
      <c r="E43" s="32">
        <f>((F10*'Construct &amp; Scrutinize 79 tones'!B273)*2)-(F43*3)</f>
        <v>-0.25</v>
      </c>
      <c r="F43" s="85">
        <f t="shared" si="20"/>
        <v>361.75</v>
      </c>
      <c r="G43" s="90" t="s">
        <v>602</v>
      </c>
      <c r="H43" s="95">
        <f>(LOG10(F43/F6))*1200/(LOG10(2))</f>
        <v>558.5114459931292</v>
      </c>
      <c r="I43" s="32">
        <f>(F10*'Construct &amp; Scrutinize 79 tones'!B273)*2-(F43*3)</f>
        <v>-0.25</v>
      </c>
      <c r="J43" s="144">
        <f t="shared" si="12"/>
        <v>-0.75</v>
      </c>
      <c r="K43" s="32">
        <f t="shared" si="13"/>
        <v>15.25</v>
      </c>
      <c r="L43" s="290">
        <f t="shared" si="14"/>
        <v>122.25</v>
      </c>
      <c r="M43" s="32">
        <f t="shared" si="15"/>
        <v>10.75</v>
      </c>
      <c r="N43" s="144">
        <f t="shared" si="16"/>
        <v>-8</v>
      </c>
      <c r="O43" s="144">
        <f t="shared" si="17"/>
        <v>0.25</v>
      </c>
      <c r="P43" s="32">
        <f>((F28*'Construct &amp; Scrutinize 79 tones'!B273)*4)-(F43*7)</f>
        <v>7.75</v>
      </c>
      <c r="Q43" s="47" t="s">
        <v>44</v>
      </c>
      <c r="R43" s="296">
        <f t="shared" si="18"/>
        <v>362</v>
      </c>
      <c r="S43" s="296">
        <f t="shared" si="21"/>
        <v>-1.2059522733177346</v>
      </c>
    </row>
    <row r="44" spans="1:19" ht="12.75">
      <c r="A44" s="84">
        <f>('Construct &amp; Scrutinize 79 tones'!B147*(A4/'Construct &amp; Scrutinize 79 tones'!B168))</f>
        <v>364.7640799509281</v>
      </c>
      <c r="B44" s="90" t="s">
        <v>45</v>
      </c>
      <c r="C44" s="32">
        <f t="shared" si="19"/>
        <v>2.97859514830634E-11</v>
      </c>
      <c r="D44" s="105">
        <v>-0.7077601471860362</v>
      </c>
      <c r="E44" s="32">
        <f>((F11*'Construct &amp; Scrutinize 79 tones'!B273)*2)-(F44*3)</f>
        <v>0</v>
      </c>
      <c r="F44" s="85">
        <f t="shared" si="20"/>
        <v>365</v>
      </c>
      <c r="G44" s="90" t="s">
        <v>675</v>
      </c>
      <c r="H44" s="95">
        <f>(LOG10(F44/F6))*1200/(LOG10(2))</f>
        <v>573.9955826759152</v>
      </c>
      <c r="I44" s="32">
        <f>(F11*'Construct &amp; Scrutinize 79 tones'!B273)*2-(F44*3)</f>
        <v>0</v>
      </c>
      <c r="J44" s="144">
        <f t="shared" si="12"/>
        <v>-1</v>
      </c>
      <c r="K44" s="32">
        <f t="shared" si="13"/>
        <v>14</v>
      </c>
      <c r="L44" s="290">
        <f t="shared" si="14"/>
        <v>115</v>
      </c>
      <c r="M44" s="32">
        <f t="shared" si="15"/>
        <v>10</v>
      </c>
      <c r="N44" s="144">
        <f t="shared" si="16"/>
        <v>-8.75</v>
      </c>
      <c r="O44" s="144">
        <f t="shared" si="17"/>
        <v>-2.5</v>
      </c>
      <c r="P44" s="32">
        <f>((F29*'Construct &amp; Scrutinize 79 tones'!B273)*4)-(F44*7)</f>
        <v>7</v>
      </c>
      <c r="Q44" s="47" t="s">
        <v>45</v>
      </c>
      <c r="R44" s="296">
        <f t="shared" si="18"/>
        <v>365</v>
      </c>
      <c r="S44" s="296">
        <f t="shared" si="21"/>
        <v>-0.7077601471860362</v>
      </c>
    </row>
    <row r="45" spans="1:19" ht="12.75">
      <c r="A45" s="84">
        <f>('Construct &amp; Scrutinize 79 tones'!B148*(A4/'Construct &amp; Scrutinize 79 tones'!B168))</f>
        <v>367.9578652775931</v>
      </c>
      <c r="B45" s="90" t="s">
        <v>46</v>
      </c>
      <c r="C45" s="32">
        <f t="shared" si="19"/>
        <v>3.0468072509393096E-11</v>
      </c>
      <c r="D45" s="105">
        <v>-0.8764041671902305</v>
      </c>
      <c r="E45" s="32">
        <f>((F12*'Construct &amp; Scrutinize 79 tones'!B273)*2)-(F45*3)</f>
        <v>0.25</v>
      </c>
      <c r="F45" s="85">
        <f t="shared" si="20"/>
        <v>368.25</v>
      </c>
      <c r="G45" s="90" t="s">
        <v>676</v>
      </c>
      <c r="H45" s="95">
        <f>(LOG10(F45/F6))*1200/(LOG10(2))</f>
        <v>589.3424561980788</v>
      </c>
      <c r="I45" s="32">
        <f>(F12*'Construct &amp; Scrutinize 79 tones'!B273)*2-(F45*3)</f>
        <v>0.25</v>
      </c>
      <c r="J45" s="144">
        <f t="shared" si="12"/>
        <v>-2.25</v>
      </c>
      <c r="K45" s="32">
        <f t="shared" si="13"/>
        <v>13.75</v>
      </c>
      <c r="L45" s="290">
        <f t="shared" si="14"/>
        <v>109.52777777772644</v>
      </c>
      <c r="M45" s="32">
        <f t="shared" si="15"/>
        <v>10.5</v>
      </c>
      <c r="N45" s="144">
        <f t="shared" si="16"/>
        <v>-9.5</v>
      </c>
      <c r="O45" s="144">
        <f t="shared" si="17"/>
        <v>-5.25</v>
      </c>
      <c r="P45" s="32">
        <f>((F30*'Construct &amp; Scrutinize 79 tones'!B273)*4)-(F45*7)</f>
        <v>6.25</v>
      </c>
      <c r="Q45" s="47" t="s">
        <v>46</v>
      </c>
      <c r="R45" s="296">
        <f t="shared" si="18"/>
        <v>368</v>
      </c>
      <c r="S45" s="296">
        <f t="shared" si="21"/>
        <v>-0.1264041671902305</v>
      </c>
    </row>
    <row r="46" spans="1:19" ht="12.75">
      <c r="A46" s="84">
        <f>('Construct &amp; Scrutinize 79 tones'!B149*(A4/'Construct &amp; Scrutinize 79 tones'!B168))</f>
        <v>371.179614609698</v>
      </c>
      <c r="B46" s="90" t="s">
        <v>47</v>
      </c>
      <c r="C46" s="32">
        <f t="shared" si="19"/>
        <v>3.433342499192804E-11</v>
      </c>
      <c r="D46" s="105">
        <v>-0.21115617087184546</v>
      </c>
      <c r="E46" s="32">
        <f>((F13*'Construct &amp; Scrutinize 79 tones'!B273)*2)-(F46*3)</f>
        <v>0.25</v>
      </c>
      <c r="F46" s="85">
        <f t="shared" si="20"/>
        <v>371.25</v>
      </c>
      <c r="G46" s="90" t="s">
        <v>677</v>
      </c>
      <c r="H46" s="95">
        <f>(LOG10(F46/F6))*1200/(LOG10(2))</f>
        <v>603.3890569808133</v>
      </c>
      <c r="I46" s="32">
        <f>(F13*'Construct &amp; Scrutinize 79 tones'!B273)*2-(F46*3)</f>
        <v>0.25</v>
      </c>
      <c r="J46" s="144">
        <f t="shared" si="12"/>
        <v>-1.25</v>
      </c>
      <c r="K46" s="32">
        <f t="shared" si="13"/>
        <v>14.861111111107903</v>
      </c>
      <c r="L46" s="290">
        <f t="shared" si="14"/>
        <v>136.75</v>
      </c>
      <c r="M46" s="32">
        <f t="shared" si="15"/>
        <v>11.25</v>
      </c>
      <c r="N46" s="144">
        <f t="shared" si="16"/>
        <v>-7.5</v>
      </c>
      <c r="O46" s="144">
        <f t="shared" si="17"/>
        <v>0</v>
      </c>
      <c r="P46" s="32">
        <f>((F31*'Construct &amp; Scrutinize 79 tones'!B273)*4)-(F46*7)</f>
        <v>9.25</v>
      </c>
      <c r="Q46" s="47" t="s">
        <v>47</v>
      </c>
      <c r="R46" s="296">
        <f>CEILING(A46,0.25)</f>
        <v>371.25</v>
      </c>
      <c r="S46" s="296">
        <f t="shared" si="21"/>
        <v>-0.21115617087184546</v>
      </c>
    </row>
    <row r="47" spans="1:19" ht="12.75">
      <c r="A47" s="84">
        <f>('Construct &amp; Scrutinize 79 tones'!B150*(A4/'Construct &amp; Scrutinize 79 tones'!B168))</f>
        <v>374.4295727932321</v>
      </c>
      <c r="B47" s="90" t="s">
        <v>48</v>
      </c>
      <c r="C47" s="32">
        <f t="shared" si="19"/>
        <v>3.456079866737127E-11</v>
      </c>
      <c r="D47" s="105">
        <v>-0.9612816202691192</v>
      </c>
      <c r="E47" s="32">
        <f>((F14*'Construct &amp; Scrutinize 79 tones'!B273)*2)-(F47*3)</f>
        <v>-0.25</v>
      </c>
      <c r="F47" s="85">
        <f t="shared" si="20"/>
        <v>374.75</v>
      </c>
      <c r="G47" s="90" t="s">
        <v>678</v>
      </c>
      <c r="H47" s="95">
        <f>(LOG10(F47/F6))*1200/(LOG10(2))</f>
        <v>619.6339996924913</v>
      </c>
      <c r="I47" s="32">
        <f>(F14*'Construct &amp; Scrutinize 79 tones'!B273)*2-(F47*3)</f>
        <v>-0.25</v>
      </c>
      <c r="J47" s="144">
        <f t="shared" si="12"/>
        <v>-2.6388888888920974</v>
      </c>
      <c r="K47" s="32">
        <f t="shared" si="13"/>
        <v>14.25</v>
      </c>
      <c r="L47" s="290">
        <f t="shared" si="14"/>
        <v>109.25</v>
      </c>
      <c r="M47" s="32">
        <f t="shared" si="15"/>
        <v>11.5</v>
      </c>
      <c r="N47" s="144">
        <f t="shared" si="16"/>
        <v>-9.75</v>
      </c>
      <c r="O47" s="144">
        <f t="shared" si="17"/>
        <v>-4</v>
      </c>
      <c r="P47" s="32">
        <f>((F32*'Construct &amp; Scrutinize 79 tones'!B273)*4)-(F47*7)</f>
        <v>6.75</v>
      </c>
      <c r="Q47" s="47" t="s">
        <v>48</v>
      </c>
      <c r="R47" s="296">
        <f t="shared" si="18"/>
        <v>374.5</v>
      </c>
      <c r="S47" s="296">
        <f t="shared" si="21"/>
        <v>-0.21128162026911923</v>
      </c>
    </row>
    <row r="48" spans="1:19" ht="12.75">
      <c r="A48" s="84">
        <f>('Construct &amp; Scrutinize 79 tones'!B151*(A4/'Construct &amp; Scrutinize 79 tones'!B168))</f>
        <v>377.70798681803285</v>
      </c>
      <c r="B48" s="90" t="s">
        <v>49</v>
      </c>
      <c r="C48" s="32">
        <f t="shared" si="19"/>
        <v>3.456079866737127E-11</v>
      </c>
      <c r="D48" s="105">
        <v>-0.8760395458668881</v>
      </c>
      <c r="E48" s="32">
        <f>((F15*'Construct &amp; Scrutinize 79 tones'!B273)*2)-(F48*3)</f>
        <v>0</v>
      </c>
      <c r="F48" s="85">
        <f t="shared" si="20"/>
        <v>378</v>
      </c>
      <c r="G48" s="90" t="s">
        <v>603</v>
      </c>
      <c r="H48" s="95">
        <f>(LOG10(F48/F6))*1200/(LOG10(2))</f>
        <v>634.5833072203469</v>
      </c>
      <c r="I48" s="32">
        <f>(F15*'Construct &amp; Scrutinize 79 tones'!B273)*2-(F48*3)</f>
        <v>0</v>
      </c>
      <c r="J48" s="144">
        <f t="shared" si="12"/>
        <v>-2</v>
      </c>
      <c r="K48" s="32">
        <f t="shared" si="13"/>
        <v>14</v>
      </c>
      <c r="L48" s="290">
        <f t="shared" si="14"/>
        <v>118</v>
      </c>
      <c r="M48" s="32">
        <f t="shared" si="15"/>
        <v>12</v>
      </c>
      <c r="N48" s="144">
        <f t="shared" si="16"/>
        <v>-8</v>
      </c>
      <c r="O48" s="144">
        <f t="shared" si="17"/>
        <v>-6.75</v>
      </c>
      <c r="P48" s="32">
        <f>((F33*'Construct &amp; Scrutinize 79 tones'!B273)*4)-(F48*7)</f>
        <v>8</v>
      </c>
      <c r="Q48" s="47" t="s">
        <v>49</v>
      </c>
      <c r="R48" s="296">
        <f t="shared" si="18"/>
        <v>378</v>
      </c>
      <c r="S48" s="296">
        <f t="shared" si="21"/>
        <v>-0.8760395458668881</v>
      </c>
    </row>
    <row r="49" spans="1:19" ht="12.75">
      <c r="A49" s="84">
        <f>('Construct &amp; Scrutinize 79 tones'!B152*(A4/'Construct &amp; Scrutinize 79 tones'!B168))</f>
        <v>381.0151058365153</v>
      </c>
      <c r="B49" s="90" t="s">
        <v>50</v>
      </c>
      <c r="C49" s="32">
        <f t="shared" si="19"/>
        <v>3.0240698833949864E-11</v>
      </c>
      <c r="D49" s="105">
        <v>-0.7046824904239202</v>
      </c>
      <c r="E49" s="32">
        <f>((F16*'Construct &amp; Scrutinize 79 tones'!B273)*2)-(F49*3)</f>
        <v>0.25</v>
      </c>
      <c r="F49" s="85">
        <f t="shared" si="20"/>
        <v>381.25</v>
      </c>
      <c r="G49" s="90" t="s">
        <v>604</v>
      </c>
      <c r="H49" s="95">
        <f>(LOG10(F49/F6))*1200/(LOG10(2))</f>
        <v>649.4046309601929</v>
      </c>
      <c r="I49" s="32">
        <f>(F16*'Construct &amp; Scrutinize 79 tones'!B273)*2-(F49*3)</f>
        <v>0.25</v>
      </c>
      <c r="J49" s="144">
        <f t="shared" si="12"/>
        <v>-2.25</v>
      </c>
      <c r="K49" s="32">
        <f t="shared" si="13"/>
        <v>14.75</v>
      </c>
      <c r="L49" s="290">
        <f t="shared" si="14"/>
        <v>126.75</v>
      </c>
      <c r="M49" s="32">
        <f t="shared" si="15"/>
        <v>11.25</v>
      </c>
      <c r="N49" s="144">
        <f t="shared" si="16"/>
        <v>-7.5</v>
      </c>
      <c r="O49" s="144">
        <f t="shared" si="17"/>
        <v>4</v>
      </c>
      <c r="P49" s="32">
        <f>((F34*'Construct &amp; Scrutinize 79 tones'!B273)*4)-(F49*7)</f>
        <v>7.25</v>
      </c>
      <c r="Q49" s="47" t="s">
        <v>50</v>
      </c>
      <c r="R49" s="296">
        <f t="shared" si="18"/>
        <v>381.5</v>
      </c>
      <c r="S49" s="296">
        <f t="shared" si="21"/>
        <v>-1.4546824904239202</v>
      </c>
    </row>
    <row r="50" spans="1:19" ht="12.75">
      <c r="A50" s="84">
        <f>('Construct &amp; Scrutinize 79 tones'!B153*(A4/'Construct &amp; Scrutinize 79 tones'!B168))</f>
        <v>384.35118118259584</v>
      </c>
      <c r="B50" s="90" t="s">
        <v>51</v>
      </c>
      <c r="C50" s="32">
        <f t="shared" si="19"/>
        <v>3.296918293926865E-11</v>
      </c>
      <c r="D50" s="105">
        <v>-1.1964564521795182</v>
      </c>
      <c r="E50" s="32">
        <f>((F17*'Construct &amp; Scrutinize 79 tones'!B273)*2)-(F50*3)</f>
        <v>-0.25</v>
      </c>
      <c r="F50" s="85">
        <f t="shared" si="20"/>
        <v>384.75</v>
      </c>
      <c r="G50" s="90" t="s">
        <v>605</v>
      </c>
      <c r="H50" s="95">
        <f>(LOG10(F50/F6))*1200/(LOG10(2))</f>
        <v>665.2254177489119</v>
      </c>
      <c r="I50" s="32">
        <f>(F17*'Construct &amp; Scrutinize 79 tones'!B273)*2-(F50*3)</f>
        <v>-0.25</v>
      </c>
      <c r="J50" s="144">
        <f t="shared" si="12"/>
        <v>-2.75</v>
      </c>
      <c r="K50" s="32">
        <f t="shared" si="13"/>
        <v>14.25</v>
      </c>
      <c r="L50" s="290">
        <f t="shared" si="14"/>
        <v>115.25</v>
      </c>
      <c r="M50" s="32">
        <f t="shared" si="15"/>
        <v>10.25</v>
      </c>
      <c r="N50" s="144">
        <f t="shared" si="16"/>
        <v>-9.75</v>
      </c>
      <c r="O50" s="144">
        <f t="shared" si="17"/>
        <v>0</v>
      </c>
      <c r="P50" s="32">
        <f>((F35*'Construct &amp; Scrutinize 79 tones'!B273)*4)-(F50*7)</f>
        <v>6.75</v>
      </c>
      <c r="Q50" s="47" t="s">
        <v>51</v>
      </c>
      <c r="R50" s="296">
        <v>384.75</v>
      </c>
      <c r="S50" s="296">
        <f t="shared" si="21"/>
        <v>-1.1964564521795182</v>
      </c>
    </row>
    <row r="51" spans="1:19" ht="12.75">
      <c r="A51" s="86">
        <f>('Construct &amp; Scrutinize 79 tones'!B154*(A4/'Construct &amp; Scrutinize 79 tones'!B168))</f>
        <v>387.7164663908123</v>
      </c>
      <c r="B51" s="90" t="s">
        <v>52</v>
      </c>
      <c r="C51" s="32">
        <f t="shared" si="19"/>
        <v>3.319655661471188E-11</v>
      </c>
      <c r="D51" s="105">
        <v>-0.8506008275298882</v>
      </c>
      <c r="E51" s="32">
        <f>((F18*'Construct &amp; Scrutinize 79 tones'!B273)*2)-(F51*3)</f>
        <v>0</v>
      </c>
      <c r="F51" s="93">
        <f t="shared" si="20"/>
        <v>388</v>
      </c>
      <c r="G51" s="90" t="s">
        <v>680</v>
      </c>
      <c r="H51" s="95">
        <f>(LOG10(F51/F6))*1200/(LOG10(2))</f>
        <v>679.7878087796129</v>
      </c>
      <c r="I51" s="32">
        <f>(F18*'Construct &amp; Scrutinize 79 tones'!B273)*2-(F51*3)</f>
        <v>0</v>
      </c>
      <c r="J51" s="144">
        <f t="shared" si="12"/>
        <v>-2</v>
      </c>
      <c r="K51" s="32">
        <f t="shared" si="13"/>
        <v>15</v>
      </c>
      <c r="L51" s="290">
        <f t="shared" si="14"/>
        <v>108</v>
      </c>
      <c r="M51" s="32">
        <f t="shared" si="15"/>
        <v>10.888888888885049</v>
      </c>
      <c r="N51" s="144">
        <f t="shared" si="16"/>
        <v>-9.25</v>
      </c>
      <c r="O51" s="144">
        <f t="shared" si="17"/>
        <v>-2.75</v>
      </c>
      <c r="P51" s="32">
        <f>((F36*'Construct &amp; Scrutinize 79 tones'!B273)*4)-(F51*7)</f>
        <v>8</v>
      </c>
      <c r="Q51" s="47" t="s">
        <v>52</v>
      </c>
      <c r="R51" s="296">
        <f t="shared" si="18"/>
        <v>388</v>
      </c>
      <c r="S51" s="296">
        <f t="shared" si="21"/>
        <v>-0.8506008275298882</v>
      </c>
    </row>
    <row r="52" spans="1:19" ht="12.75">
      <c r="A52" s="82">
        <f>('Construct &amp; Scrutinize 79 tones'!B155*(A4/'Construct &amp; Scrutinize 79 tones'!B168))</f>
        <v>392.85685888688795</v>
      </c>
      <c r="B52" s="91" t="s">
        <v>356</v>
      </c>
      <c r="C52" s="104">
        <f t="shared" si="19"/>
        <v>-5.236925013836299</v>
      </c>
      <c r="D52" s="105">
        <v>-5.666348353172452</v>
      </c>
      <c r="E52" s="104">
        <f>((F19*'Construct &amp; Scrutinize 79 tones'!B273)*2)-(F52*3)</f>
        <v>-5</v>
      </c>
      <c r="F52" s="82">
        <f t="shared" si="20"/>
        <v>393</v>
      </c>
      <c r="G52" s="91" t="s">
        <v>587</v>
      </c>
      <c r="H52" s="96">
        <f>(LOG10(F52/F6))*1200/(LOG10(2))</f>
        <v>701.9550008653873</v>
      </c>
      <c r="I52" s="104">
        <f>(F20*'Construct &amp; Scrutinize 79 tones'!B273)*2-(F52*3)</f>
        <v>5</v>
      </c>
      <c r="J52" s="104">
        <f aca="true" t="shared" si="22" ref="J52:J60">(F77*4)-(F52*5)</f>
        <v>-10</v>
      </c>
      <c r="K52" s="294">
        <f t="shared" si="13"/>
        <v>6</v>
      </c>
      <c r="L52" s="294">
        <f t="shared" si="14"/>
        <v>-9</v>
      </c>
      <c r="M52" s="294">
        <f t="shared" si="15"/>
        <v>2</v>
      </c>
      <c r="N52" s="104">
        <f t="shared" si="16"/>
        <v>-19.11111111111495</v>
      </c>
      <c r="O52" s="104">
        <f t="shared" si="17"/>
        <v>-54.75</v>
      </c>
      <c r="P52" s="294">
        <f>((F37*'Construct &amp; Scrutinize 79 tones'!B273)*4)-(F52*7)</f>
        <v>-3</v>
      </c>
      <c r="Q52" s="48" t="s">
        <v>356</v>
      </c>
      <c r="R52" s="296">
        <f t="shared" si="18"/>
        <v>393</v>
      </c>
      <c r="S52" s="296">
        <f t="shared" si="21"/>
        <v>-5.666348353172452</v>
      </c>
    </row>
    <row r="53" spans="1:19" ht="12.75">
      <c r="A53" s="85">
        <f>('Construct &amp; Scrutinize 79 tones'!B156*(A4/'Construct &amp; Scrutinize 79 tones'!B168))</f>
        <v>396.2966177347546</v>
      </c>
      <c r="B53" s="90" t="s">
        <v>54</v>
      </c>
      <c r="C53" s="32">
        <f t="shared" si="19"/>
        <v>-5.282778252091475</v>
      </c>
      <c r="D53" s="105">
        <v>-5.892925047827703</v>
      </c>
      <c r="E53" s="32">
        <f>((F20*'Construct &amp; Scrutinize 79 tones'!B273)*2)-(F53*3)</f>
        <v>-5.5</v>
      </c>
      <c r="F53" s="85">
        <f t="shared" si="20"/>
        <v>396.5</v>
      </c>
      <c r="G53" s="90" t="s">
        <v>681</v>
      </c>
      <c r="H53" s="95">
        <f>(LOG10(F53/F6))*1200/(LOG10(2))</f>
        <v>717.3048649998337</v>
      </c>
      <c r="I53" s="32">
        <f>(F21*'Construct &amp; Scrutinize 79 tones'!B273)*2-(F53*3)</f>
        <v>5.5</v>
      </c>
      <c r="J53" s="32">
        <f t="shared" si="22"/>
        <v>-11.5</v>
      </c>
      <c r="K53" s="144">
        <f t="shared" si="13"/>
        <v>6.5</v>
      </c>
      <c r="L53" s="144">
        <f t="shared" si="14"/>
        <v>-20.5</v>
      </c>
      <c r="M53" s="144">
        <f t="shared" si="15"/>
        <v>1</v>
      </c>
      <c r="N53" s="32">
        <f t="shared" si="16"/>
        <v>-19</v>
      </c>
      <c r="O53" s="32">
        <f t="shared" si="17"/>
        <v>-58.00000000002183</v>
      </c>
      <c r="P53" s="144">
        <f>((F38*'Construct &amp; Scrutinize 79 tones'!B273)*4)-(F53*7)</f>
        <v>-3.5</v>
      </c>
      <c r="Q53" s="47" t="s">
        <v>54</v>
      </c>
      <c r="R53" s="296">
        <f t="shared" si="18"/>
        <v>396.5</v>
      </c>
      <c r="S53" s="296">
        <f t="shared" si="21"/>
        <v>-5.892925047827703</v>
      </c>
    </row>
    <row r="54" spans="1:19" ht="12.75">
      <c r="A54" s="84">
        <f>('Construct &amp; Scrutinize 79 tones'!B157*(A4/'Construct &amp; Scrutinize 79 tones'!B168))</f>
        <v>399.7664942722047</v>
      </c>
      <c r="B54" s="90" t="s">
        <v>55</v>
      </c>
      <c r="C54" s="32">
        <f t="shared" si="19"/>
        <v>-5.329032970121261</v>
      </c>
      <c r="D54" s="105">
        <v>-6.029550153507216</v>
      </c>
      <c r="E54" s="32">
        <f>((F21*'Construct &amp; Scrutinize 79 tones'!B273)*2)-(F54*3)</f>
        <v>-5</v>
      </c>
      <c r="F54" s="85">
        <f t="shared" si="20"/>
        <v>400</v>
      </c>
      <c r="G54" s="90" t="s">
        <v>679</v>
      </c>
      <c r="H54" s="95">
        <f>(LOG10(F54/F6))*1200/(LOG10(2))</f>
        <v>732.5198258847294</v>
      </c>
      <c r="I54" s="32">
        <f>(F22*'Construct &amp; Scrutinize 79 tones'!B273)*2-(F54*3)</f>
        <v>5</v>
      </c>
      <c r="J54" s="32">
        <f t="shared" si="22"/>
        <v>-11</v>
      </c>
      <c r="K54" s="144">
        <f t="shared" si="13"/>
        <v>6</v>
      </c>
      <c r="L54" s="144">
        <f t="shared" si="14"/>
        <v>-16</v>
      </c>
      <c r="M54" s="144">
        <f t="shared" si="15"/>
        <v>1.25</v>
      </c>
      <c r="N54" s="32">
        <f t="shared" si="16"/>
        <v>-20</v>
      </c>
      <c r="O54" s="32">
        <f t="shared" si="17"/>
        <v>-56</v>
      </c>
      <c r="P54" s="144">
        <f>((F39*'Construct &amp; Scrutinize 79 tones'!B273)*4)-(F54*7)</f>
        <v>-5.333333333336213</v>
      </c>
      <c r="Q54" s="47" t="s">
        <v>55</v>
      </c>
      <c r="R54" s="296">
        <f t="shared" si="18"/>
        <v>400</v>
      </c>
      <c r="S54" s="296">
        <f t="shared" si="21"/>
        <v>-6.029550153507216</v>
      </c>
    </row>
    <row r="55" spans="1:19" ht="12.75">
      <c r="A55" s="84">
        <f>('Construct &amp; Scrutinize 79 tones'!B158*(A4/'Construct &amp; Scrutinize 79 tones'!B168))</f>
        <v>403.26675220239787</v>
      </c>
      <c r="B55" s="90" t="s">
        <v>56</v>
      </c>
      <c r="C55" s="32">
        <f t="shared" si="19"/>
        <v>-5.375692683184525</v>
      </c>
      <c r="D55" s="105">
        <v>-6.075436075990865</v>
      </c>
      <c r="E55" s="32">
        <f>((F22*'Construct &amp; Scrutinize 79 tones'!B273)*2)-(F55*3)</f>
        <v>-5.5</v>
      </c>
      <c r="F55" s="85">
        <f t="shared" si="20"/>
        <v>403.5</v>
      </c>
      <c r="G55" s="90" t="s">
        <v>606</v>
      </c>
      <c r="H55" s="95">
        <f>(LOG10(F55/F6))*1200/(LOG10(2))</f>
        <v>747.6022340883961</v>
      </c>
      <c r="I55" s="32">
        <f>(F23*'Construct &amp; Scrutinize 79 tones'!B273)*2-(F55*3)</f>
        <v>5.5</v>
      </c>
      <c r="J55" s="32">
        <f t="shared" si="22"/>
        <v>-11.5</v>
      </c>
      <c r="K55" s="144">
        <f t="shared" si="13"/>
        <v>6.5</v>
      </c>
      <c r="L55" s="144">
        <f t="shared" si="14"/>
        <v>-27.5</v>
      </c>
      <c r="M55" s="144">
        <f t="shared" si="15"/>
        <v>1.5</v>
      </c>
      <c r="N55" s="32">
        <f t="shared" si="16"/>
        <v>-19.75</v>
      </c>
      <c r="O55" s="32">
        <f t="shared" si="17"/>
        <v>-60</v>
      </c>
      <c r="P55" s="144">
        <f>((F40*'Construct &amp; Scrutinize 79 tones'!B273)*4)-(F55*7)</f>
        <v>-4.5</v>
      </c>
      <c r="Q55" s="47" t="s">
        <v>56</v>
      </c>
      <c r="R55" s="296">
        <f t="shared" si="18"/>
        <v>403.5</v>
      </c>
      <c r="S55" s="296">
        <f t="shared" si="21"/>
        <v>-6.075436075990865</v>
      </c>
    </row>
    <row r="56" spans="1:19" ht="12.75">
      <c r="A56" s="84">
        <f>('Construct &amp; Scrutinize 79 tones'!B159*(A4/'Construct &amp; Scrutinize 79 tones'!B168))</f>
        <v>406.79765753740566</v>
      </c>
      <c r="B56" s="90" t="s">
        <v>57</v>
      </c>
      <c r="C56" s="32">
        <f t="shared" si="19"/>
        <v>-5.422760937315843</v>
      </c>
      <c r="D56" s="105">
        <v>-6.029788325098934</v>
      </c>
      <c r="E56" s="32">
        <f>((F23*'Construct &amp; Scrutinize 79 tones'!B273)*2)-(F56*3)</f>
        <v>-5</v>
      </c>
      <c r="F56" s="85">
        <f t="shared" si="20"/>
        <v>407</v>
      </c>
      <c r="G56" s="90" t="s">
        <v>607</v>
      </c>
      <c r="H56" s="95">
        <f>(LOG10(F56/F6))*1200/(LOG10(2))</f>
        <v>762.554379274556</v>
      </c>
      <c r="I56" s="32">
        <f>(F24*'Construct &amp; Scrutinize 79 tones'!B273)*2-(F56*3)</f>
        <v>5</v>
      </c>
      <c r="J56" s="32">
        <f t="shared" si="22"/>
        <v>-11</v>
      </c>
      <c r="K56" s="144">
        <f t="shared" si="13"/>
        <v>6</v>
      </c>
      <c r="L56" s="144">
        <f t="shared" si="14"/>
        <v>-23</v>
      </c>
      <c r="M56" s="144">
        <f t="shared" si="15"/>
        <v>1.75</v>
      </c>
      <c r="N56" s="32">
        <f t="shared" si="16"/>
        <v>-19.5</v>
      </c>
      <c r="O56" s="32">
        <f t="shared" si="17"/>
        <v>-57.25</v>
      </c>
      <c r="P56" s="144">
        <f>((F41*'Construct &amp; Scrutinize 79 tones'!B273)*4)-(F56*7)</f>
        <v>-5</v>
      </c>
      <c r="Q56" s="47" t="s">
        <v>57</v>
      </c>
      <c r="R56" s="296">
        <f t="shared" si="18"/>
        <v>407</v>
      </c>
      <c r="S56" s="296">
        <f t="shared" si="21"/>
        <v>-6.029788325098934</v>
      </c>
    </row>
    <row r="57" spans="1:19" ht="12.75">
      <c r="A57" s="84">
        <f>('Construct &amp; Scrutinize 79 tones'!B160*(A4/'Construct &amp; Scrutinize 79 tones'!B168))</f>
        <v>410.3594786184195</v>
      </c>
      <c r="B57" s="90" t="s">
        <v>58</v>
      </c>
      <c r="C57" s="32">
        <f t="shared" si="19"/>
        <v>-5.470241309596531</v>
      </c>
      <c r="D57" s="105">
        <v>-5.891805454338055</v>
      </c>
      <c r="E57" s="32">
        <f>((F24*'Construct &amp; Scrutinize 79 tones'!B273)*2)-(F57*3)</f>
        <v>-5.5</v>
      </c>
      <c r="F57" s="85">
        <f t="shared" si="20"/>
        <v>410.5</v>
      </c>
      <c r="G57" s="90" t="s">
        <v>682</v>
      </c>
      <c r="H57" s="95">
        <f>(LOG10(F57/F6))*1200/(LOG10(2))</f>
        <v>777.3784922884254</v>
      </c>
      <c r="I57" s="32">
        <f>(F25*'Construct &amp; Scrutinize 79 tones'!B273)*2-(F57*3)</f>
        <v>5.5</v>
      </c>
      <c r="J57" s="32">
        <f t="shared" si="22"/>
        <v>-11.5</v>
      </c>
      <c r="K57" s="144">
        <f t="shared" si="13"/>
        <v>6.5</v>
      </c>
      <c r="L57" s="144">
        <f t="shared" si="14"/>
        <v>-18.5</v>
      </c>
      <c r="M57" s="144">
        <f t="shared" si="15"/>
        <v>0.75</v>
      </c>
      <c r="N57" s="32">
        <f t="shared" si="16"/>
        <v>-19.25</v>
      </c>
      <c r="O57" s="32">
        <f t="shared" si="17"/>
        <v>-54.5</v>
      </c>
      <c r="P57" s="144">
        <f>((F42*'Construct &amp; Scrutinize 79 tones'!B273)*4)-(F57*7)</f>
        <v>-3.5</v>
      </c>
      <c r="Q57" s="47" t="s">
        <v>58</v>
      </c>
      <c r="R57" s="296">
        <f t="shared" si="18"/>
        <v>410.5</v>
      </c>
      <c r="S57" s="296">
        <f t="shared" si="21"/>
        <v>-5.891805454338055</v>
      </c>
    </row>
    <row r="58" spans="1:19" ht="12.75">
      <c r="A58" s="84">
        <f>('Construct &amp; Scrutinize 79 tones'!B161*(A4/'Construct &amp; Scrutinize 79 tones'!B168))</f>
        <v>413.9524861361712</v>
      </c>
      <c r="B58" s="90" t="s">
        <v>59</v>
      </c>
      <c r="C58" s="32">
        <f t="shared" si="19"/>
        <v>-5.518137408440225</v>
      </c>
      <c r="D58" s="105">
        <v>-5.660678999926631</v>
      </c>
      <c r="E58" s="32">
        <f>((F25*'Construct &amp; Scrutinize 79 tones'!B273)*2)-(F58*3)</f>
        <v>-5</v>
      </c>
      <c r="F58" s="85">
        <f t="shared" si="20"/>
        <v>414</v>
      </c>
      <c r="G58" s="90" t="s">
        <v>683</v>
      </c>
      <c r="H58" s="95">
        <f>(LOG10(F58/F6))*1200/(LOG10(2))</f>
        <v>792.0767471542501</v>
      </c>
      <c r="I58" s="32">
        <f>(F26*'Construct &amp; Scrutinize 79 tones'!B273)*2-(F58*3)</f>
        <v>6</v>
      </c>
      <c r="J58" s="32">
        <f t="shared" si="22"/>
        <v>-11</v>
      </c>
      <c r="K58" s="144">
        <f t="shared" si="13"/>
        <v>7</v>
      </c>
      <c r="L58" s="144">
        <f t="shared" si="14"/>
        <v>2</v>
      </c>
      <c r="M58" s="144">
        <f t="shared" si="15"/>
        <v>2.25</v>
      </c>
      <c r="N58" s="32">
        <f t="shared" si="16"/>
        <v>-20.25</v>
      </c>
      <c r="O58" s="32">
        <f t="shared" si="17"/>
        <v>-51.75</v>
      </c>
      <c r="P58" s="144">
        <f>((F43*'Construct &amp; Scrutinize 79 tones'!B273)*4)-(F58*7)</f>
        <v>-4</v>
      </c>
      <c r="Q58" s="47" t="s">
        <v>59</v>
      </c>
      <c r="R58" s="296">
        <f t="shared" si="18"/>
        <v>414</v>
      </c>
      <c r="S58" s="296">
        <f t="shared" si="21"/>
        <v>-5.660678999926631</v>
      </c>
    </row>
    <row r="59" spans="1:19" ht="12.75">
      <c r="A59" s="84">
        <f>('Construct &amp; Scrutinize 79 tones'!B162*(A4/'Construct &amp; Scrutinize 79 tones'!B168))</f>
        <v>417.57695315150966</v>
      </c>
      <c r="B59" s="90" t="s">
        <v>60</v>
      </c>
      <c r="C59" s="32">
        <f t="shared" si="19"/>
        <v>-5.5664528738470835</v>
      </c>
      <c r="D59" s="105">
        <v>-6.085593419318229</v>
      </c>
      <c r="E59" s="32">
        <f>((F26*'Construct &amp; Scrutinize 79 tones'!B273)*2)-(F59*3)</f>
        <v>-5.25</v>
      </c>
      <c r="F59" s="85">
        <f t="shared" si="20"/>
        <v>417.75</v>
      </c>
      <c r="G59" s="90" t="s">
        <v>684</v>
      </c>
      <c r="H59" s="95">
        <f>(LOG10(F59/F6))*1200/(LOG10(2))</f>
        <v>807.6876198284851</v>
      </c>
      <c r="I59" s="32">
        <f>(F27*'Construct &amp; Scrutinize 79 tones'!B273)*2-(F59*3)</f>
        <v>5.75</v>
      </c>
      <c r="J59" s="32">
        <f t="shared" si="22"/>
        <v>-11.75</v>
      </c>
      <c r="K59" s="144">
        <f t="shared" si="13"/>
        <v>7.25</v>
      </c>
      <c r="L59" s="144">
        <f>((F7*'Construct &amp; Scrutinize 79 tones'!B273)*64)-(F59*81)</f>
        <v>18.25</v>
      </c>
      <c r="M59" s="144">
        <f t="shared" si="15"/>
        <v>1</v>
      </c>
      <c r="N59" s="32">
        <f t="shared" si="16"/>
        <v>-20.25</v>
      </c>
      <c r="O59" s="32">
        <f t="shared" si="17"/>
        <v>-63.75</v>
      </c>
      <c r="P59" s="144">
        <f>((F44*'Construct &amp; Scrutinize 79 tones'!B273)*4)-(F59*7)</f>
        <v>-4.25</v>
      </c>
      <c r="Q59" s="47" t="s">
        <v>60</v>
      </c>
      <c r="R59" s="296">
        <f t="shared" si="18"/>
        <v>418</v>
      </c>
      <c r="S59" s="296">
        <f t="shared" si="21"/>
        <v>-6.835593419318229</v>
      </c>
    </row>
    <row r="60" spans="1:19" ht="12.75">
      <c r="A60" s="84">
        <f>('Construct &amp; Scrutinize 79 tones'!B163*(A4/'Construct &amp; Scrutinize 79 tones'!B168))</f>
        <v>421.2331551160949</v>
      </c>
      <c r="B60" s="90" t="s">
        <v>61</v>
      </c>
      <c r="C60" s="32">
        <f t="shared" si="19"/>
        <v>-5.615191377683459</v>
      </c>
      <c r="D60" s="105">
        <v>-5.665726029398684</v>
      </c>
      <c r="E60" s="32">
        <f>((F27*'Construct &amp; Scrutinize 79 tones'!B273)*2)-(F60*3)</f>
        <v>-4.75</v>
      </c>
      <c r="F60" s="85">
        <f t="shared" si="20"/>
        <v>421.25</v>
      </c>
      <c r="G60" s="90" t="s">
        <v>608</v>
      </c>
      <c r="H60" s="95">
        <f>(LOG10(F60/F6))*1200/(LOG10(2))</f>
        <v>822.1318494381247</v>
      </c>
      <c r="I60" s="32">
        <f>(F28*'Construct &amp; Scrutinize 79 tones'!B273)*2-(F60*3)</f>
        <v>6.25</v>
      </c>
      <c r="J60" s="32">
        <f t="shared" si="22"/>
        <v>-10.25</v>
      </c>
      <c r="K60" s="144">
        <f>((F7*'Construct &amp; Scrutinize 79 tones'!B273)*4)-(F60*5)</f>
        <v>9.75</v>
      </c>
      <c r="L60" s="144">
        <f>((F8*'Construct &amp; Scrutinize 79 tones'!B273)*64)-(F60*81)</f>
        <v>22.75</v>
      </c>
      <c r="M60" s="144">
        <f t="shared" si="15"/>
        <v>2.5</v>
      </c>
      <c r="N60" s="32">
        <f t="shared" si="16"/>
        <v>-20</v>
      </c>
      <c r="O60" s="32">
        <f t="shared" si="17"/>
        <v>-54.25</v>
      </c>
      <c r="P60" s="144">
        <f>((F45*'Construct &amp; Scrutinize 79 tones'!B273)*4)-(F60*7)</f>
        <v>-2.75</v>
      </c>
      <c r="Q60" s="47" t="s">
        <v>61</v>
      </c>
      <c r="R60" s="296">
        <f t="shared" si="18"/>
        <v>421.5</v>
      </c>
      <c r="S60" s="296">
        <f t="shared" si="21"/>
        <v>-6.415726029398684</v>
      </c>
    </row>
    <row r="61" spans="1:19" ht="12.75">
      <c r="A61" s="84">
        <f>('Construct &amp; Scrutinize 79 tones'!B164*(A4/'Construct &amp; Scrutinize 79 tones'!B168))</f>
        <v>424.9213698934204</v>
      </c>
      <c r="B61" s="90" t="s">
        <v>62</v>
      </c>
      <c r="C61" s="32">
        <f t="shared" si="19"/>
        <v>-5.664356623967933</v>
      </c>
      <c r="D61" s="105">
        <v>-5.900246943706861</v>
      </c>
      <c r="E61" s="32">
        <f>((F28*'Construct &amp; Scrutinize 79 tones'!B273)*2)-(F61*3)</f>
        <v>-5</v>
      </c>
      <c r="F61" s="85">
        <f t="shared" si="20"/>
        <v>425</v>
      </c>
      <c r="G61" s="90" t="s">
        <v>609</v>
      </c>
      <c r="H61" s="95">
        <f>(LOG10(F61/F6))*1200/(LOG10(2))</f>
        <v>837.4752353851366</v>
      </c>
      <c r="I61" s="32">
        <f>(F29*'Construct &amp; Scrutinize 79 tones'!B273)*2-(F61*3)</f>
        <v>6</v>
      </c>
      <c r="J61" s="290">
        <f>((F7*'Construct &amp; Scrutinize 79 tones'!B273)*4)-(F61*5)</f>
        <v>-9</v>
      </c>
      <c r="K61" s="144">
        <f>((F8*'Construct &amp; Scrutinize 79 tones'!B273)*4)-(F61*5)</f>
        <v>9</v>
      </c>
      <c r="L61" s="144">
        <f>((F9*'Construct &amp; Scrutinize 79 tones'!B273)*64)-(F61*81)</f>
        <v>7</v>
      </c>
      <c r="M61" s="144">
        <f t="shared" si="15"/>
        <v>1.25</v>
      </c>
      <c r="N61" s="32">
        <f t="shared" si="16"/>
        <v>-20</v>
      </c>
      <c r="O61" s="32">
        <f t="shared" si="17"/>
        <v>-59.5</v>
      </c>
      <c r="P61" s="144">
        <f>((F46*'Construct &amp; Scrutinize 79 tones'!B273)*4)-(F61*7)</f>
        <v>-5</v>
      </c>
      <c r="Q61" s="47" t="s">
        <v>62</v>
      </c>
      <c r="R61" s="296">
        <f t="shared" si="18"/>
        <v>425</v>
      </c>
      <c r="S61" s="296">
        <f t="shared" si="21"/>
        <v>-5.900246943706861</v>
      </c>
    </row>
    <row r="62" spans="1:19" ht="12.75">
      <c r="A62" s="84">
        <f>('Construct &amp; Scrutinize 79 tones'!B165*(A4/'Construct &amp; Scrutinize 79 tones'!B168))</f>
        <v>428.6418777798743</v>
      </c>
      <c r="B62" s="90" t="s">
        <v>63</v>
      </c>
      <c r="C62" s="32">
        <f t="shared" si="19"/>
        <v>-5.713952349166675</v>
      </c>
      <c r="D62" s="105">
        <v>-6.038319009543784</v>
      </c>
      <c r="E62" s="32">
        <f>((F29*'Construct &amp; Scrutinize 79 tones'!B273)*2)-(F62*3)</f>
        <v>-5.25</v>
      </c>
      <c r="F62" s="85">
        <f t="shared" si="20"/>
        <v>428.75</v>
      </c>
      <c r="G62" s="90" t="s">
        <v>610</v>
      </c>
      <c r="H62" s="95">
        <f>(LOG10(F62/F6))*1200/(LOG10(2))</f>
        <v>852.6838314272693</v>
      </c>
      <c r="I62" s="32">
        <f>(F30*'Construct &amp; Scrutinize 79 tones'!B273)*2-(F62*3)</f>
        <v>5.75</v>
      </c>
      <c r="J62" s="290">
        <f>((F8*'Construct &amp; Scrutinize 79 tones'!B273)*4)-(F62*5)</f>
        <v>-9.75</v>
      </c>
      <c r="K62" s="144">
        <f>((F9*'Construct &amp; Scrutinize 79 tones'!B273)*4)-(F62*5)</f>
        <v>8.25</v>
      </c>
      <c r="L62" s="144">
        <f>((F10*'Construct &amp; Scrutinize 79 tones'!B273)*64)-(F62*81)</f>
        <v>-8.75</v>
      </c>
      <c r="M62" s="144">
        <f t="shared" si="15"/>
        <v>1.25</v>
      </c>
      <c r="N62" s="32">
        <f t="shared" si="16"/>
        <v>-21.25</v>
      </c>
      <c r="O62" s="32">
        <f t="shared" si="17"/>
        <v>-58</v>
      </c>
      <c r="P62" s="144">
        <f>((F47*'Construct &amp; Scrutinize 79 tones'!B273)*4)-(F62*7)</f>
        <v>-3.25</v>
      </c>
      <c r="Q62" s="47" t="s">
        <v>63</v>
      </c>
      <c r="R62" s="296">
        <f t="shared" si="18"/>
        <v>429</v>
      </c>
      <c r="S62" s="296">
        <f t="shared" si="21"/>
        <v>-6.788319009543784</v>
      </c>
    </row>
    <row r="63" spans="1:19" ht="12.75">
      <c r="A63" s="84">
        <f>('Construct &amp; Scrutinize 79 tones'!B166*(A4/'Construct &amp; Scrutinize 79 tones'!B168))</f>
        <v>432.39496152604215</v>
      </c>
      <c r="B63" s="90" t="s">
        <v>64</v>
      </c>
      <c r="C63" s="32">
        <f t="shared" si="19"/>
        <v>-5.763982322439915</v>
      </c>
      <c r="D63" s="105">
        <v>-6.079097744313458</v>
      </c>
      <c r="E63" s="32">
        <f>((F30*'Construct &amp; Scrutinize 79 tones'!B273)*2)-(F63*3)</f>
        <v>-5.5</v>
      </c>
      <c r="F63" s="85">
        <f t="shared" si="20"/>
        <v>432.5</v>
      </c>
      <c r="G63" s="90" t="s">
        <v>657</v>
      </c>
      <c r="H63" s="95">
        <f>(LOG10(F63/F6))*1200/(LOG10(2))</f>
        <v>867.759985183964</v>
      </c>
      <c r="I63" s="32">
        <f>(F31*'Construct &amp; Scrutinize 79 tones'!B273)*2-(F63*3)</f>
        <v>6.5</v>
      </c>
      <c r="J63" s="290">
        <f>((F9*'Construct &amp; Scrutinize 79 tones'!B273)*4)-(F63*5)</f>
        <v>-10.5</v>
      </c>
      <c r="K63" s="144">
        <f>((F10*'Construct &amp; Scrutinize 79 tones'!B273)*4)-(F63*5)</f>
        <v>7.5</v>
      </c>
      <c r="L63" s="144">
        <f>((F11*'Construct &amp; Scrutinize 79 tones'!B273)*64)-(F63*81)</f>
        <v>7.5</v>
      </c>
      <c r="M63" s="144">
        <f t="shared" si="15"/>
        <v>1.25</v>
      </c>
      <c r="N63" s="32">
        <f t="shared" si="16"/>
        <v>-21.25</v>
      </c>
      <c r="O63" s="32">
        <f t="shared" si="17"/>
        <v>-63.25</v>
      </c>
      <c r="P63" s="144">
        <f>((F48*'Construct &amp; Scrutinize 79 tones'!B273)*4)-(F63*7)</f>
        <v>-3.5</v>
      </c>
      <c r="Q63" s="47" t="s">
        <v>64</v>
      </c>
      <c r="R63" s="296">
        <f>CEILING(A63,0.5)</f>
        <v>432.5</v>
      </c>
      <c r="S63" s="296">
        <f t="shared" si="21"/>
        <v>-6.079097744313458</v>
      </c>
    </row>
    <row r="64" spans="1:19" ht="12.75">
      <c r="A64" s="86">
        <f>('Construct &amp; Scrutinize 79 tones'!B167*(A4/'Construct &amp; Scrutinize 79 tones'!B168))</f>
        <v>436.1809063581976</v>
      </c>
      <c r="B64" s="90" t="s">
        <v>65</v>
      </c>
      <c r="C64" s="32">
        <f t="shared" si="19"/>
        <v>-5.814450345952537</v>
      </c>
      <c r="D64" s="105">
        <v>-6.02173127135984</v>
      </c>
      <c r="E64" s="32">
        <f>((F31*'Construct &amp; Scrutinize 79 tones'!B273)*2)-(F64*3)</f>
        <v>-4.75</v>
      </c>
      <c r="F64" s="93">
        <f t="shared" si="20"/>
        <v>436.25</v>
      </c>
      <c r="G64" s="90" t="s">
        <v>658</v>
      </c>
      <c r="H64" s="95">
        <f>(LOG10(F64/F6))*1200/(LOG10(2))</f>
        <v>882.7059834714771</v>
      </c>
      <c r="I64" s="32">
        <f>(F32*'Construct &amp; Scrutinize 79 tones'!B273)*2-(F64*3)</f>
        <v>6.25</v>
      </c>
      <c r="J64" s="290">
        <f>((F10*'Construct &amp; Scrutinize 79 tones'!B273)*4)-(F64*5)</f>
        <v>-11.25</v>
      </c>
      <c r="K64" s="144">
        <f>((F11*'Construct &amp; Scrutinize 79 tones'!B273)*4)-(F64*5)</f>
        <v>8.75</v>
      </c>
      <c r="L64" s="144">
        <f>((F12*'Construct &amp; Scrutinize 79 tones'!B273)*64)-(F64*81)</f>
        <v>23.75</v>
      </c>
      <c r="M64" s="144">
        <f t="shared" si="15"/>
        <v>2.5</v>
      </c>
      <c r="N64" s="32">
        <f t="shared" si="16"/>
        <v>-21.25</v>
      </c>
      <c r="O64" s="32">
        <f t="shared" si="17"/>
        <v>-61.75</v>
      </c>
      <c r="P64" s="144">
        <f>((F49*'Construct &amp; Scrutinize 79 tones'!B273)*4)-(F64*7)</f>
        <v>-3.75</v>
      </c>
      <c r="Q64" s="47" t="s">
        <v>65</v>
      </c>
      <c r="R64" s="296">
        <f t="shared" si="18"/>
        <v>436.5</v>
      </c>
      <c r="S64" s="296">
        <f t="shared" si="21"/>
        <v>-6.77173127135984</v>
      </c>
    </row>
    <row r="65" spans="1:19" ht="12.75">
      <c r="A65" s="87">
        <f>('Construct &amp; Scrutinize 79 tones'!B168*(A4/'Construct &amp; Scrutinize 79 tones'!B168))</f>
        <v>440</v>
      </c>
      <c r="B65" s="91" t="s">
        <v>359</v>
      </c>
      <c r="C65" s="104">
        <f t="shared" si="19"/>
        <v>-5.865360255174892</v>
      </c>
      <c r="D65" s="105">
        <v>-5.865360255174892</v>
      </c>
      <c r="E65" s="104">
        <f>((F32*'Construct &amp; Scrutinize 79 tones'!B273)*2)-(F65*3)</f>
        <v>-5</v>
      </c>
      <c r="F65" s="87">
        <f t="shared" si="20"/>
        <v>440</v>
      </c>
      <c r="G65" s="91" t="s">
        <v>659</v>
      </c>
      <c r="H65" s="96">
        <f>(LOG10(F65/F6))*1200/(LOG10(2))</f>
        <v>897.5240543846511</v>
      </c>
      <c r="I65" s="104">
        <f>(F33*'Construct &amp; Scrutinize 79 tones'!B273)*2-(F65*3)</f>
        <v>7</v>
      </c>
      <c r="J65" s="295">
        <f>((F11*'Construct &amp; Scrutinize 79 tones'!B273)*4)-(F65*5)</f>
        <v>-10</v>
      </c>
      <c r="K65" s="294">
        <f>((F12*'Construct &amp; Scrutinize 79 tones'!B273)*4)-(F65*5)</f>
        <v>10</v>
      </c>
      <c r="L65" s="294">
        <f>((F13*'Construct &amp; Scrutinize 79 tones'!B273)*64)-(F65*81)</f>
        <v>8</v>
      </c>
      <c r="M65" s="294">
        <f>((F7*'Construct &amp; Scrutinize 79 tones'!B273)*5)-(F65*6)</f>
        <v>5</v>
      </c>
      <c r="N65" s="104">
        <f t="shared" si="16"/>
        <v>-20</v>
      </c>
      <c r="O65" s="104">
        <f t="shared" si="17"/>
        <v>-60.25</v>
      </c>
      <c r="P65" s="294">
        <f>((F50*'Construct &amp; Scrutinize 79 tones'!B273)*4)-(F65*7)</f>
        <v>-2</v>
      </c>
      <c r="Q65" s="48" t="s">
        <v>359</v>
      </c>
      <c r="R65" s="296">
        <f t="shared" si="18"/>
        <v>440</v>
      </c>
      <c r="S65" s="296">
        <f t="shared" si="21"/>
        <v>-5.865360255174892</v>
      </c>
    </row>
    <row r="66" spans="1:19" ht="12.75">
      <c r="A66" s="85">
        <f>('Construct &amp; Scrutinize 79 tones'!B169*(A4/'Construct &amp; Scrutinize 79 tones'!B168))</f>
        <v>443.8525326943517</v>
      </c>
      <c r="B66" s="90" t="s">
        <v>67</v>
      </c>
      <c r="C66" s="32">
        <f t="shared" si="19"/>
        <v>-5.916715919147691</v>
      </c>
      <c r="D66" s="105">
        <v>-6.359117836092764</v>
      </c>
      <c r="E66" s="32">
        <f>((F33*'Construct &amp; Scrutinize 79 tones'!B273)*2)-(F66*3)</f>
        <v>-5</v>
      </c>
      <c r="F66" s="85">
        <f t="shared" si="20"/>
        <v>444</v>
      </c>
      <c r="G66" s="90" t="s">
        <v>660</v>
      </c>
      <c r="H66" s="95">
        <f>(LOG10(F66/F6))*1200/(LOG10(2))</f>
        <v>913.1914377751868</v>
      </c>
      <c r="I66" s="32">
        <f>(F34*'Construct &amp; Scrutinize 79 tones'!B273)*2-(F66*3)</f>
        <v>6</v>
      </c>
      <c r="J66" s="290">
        <f>((F12*'Construct &amp; Scrutinize 79 tones'!B273)*4)-(F66*5)</f>
        <v>-10</v>
      </c>
      <c r="K66" s="144">
        <f>((F13*'Construct &amp; Scrutinize 79 tones'!B273)*4)-(F66*5)</f>
        <v>8</v>
      </c>
      <c r="L66" s="144">
        <f>((F14*'Construct &amp; Scrutinize 79 tones'!B273)*64)-(F66*81)</f>
        <v>4</v>
      </c>
      <c r="M66" s="144">
        <f>((F8*'Construct &amp; Scrutinize 79 tones'!B273)*5)-(F66*6)</f>
        <v>3.5</v>
      </c>
      <c r="N66" s="32">
        <f>((F7*'Construct &amp; Scrutinize 79 tones'!B273)*5)-(F66*6)</f>
        <v>-19</v>
      </c>
      <c r="O66" s="32">
        <f t="shared" si="17"/>
        <v>-60</v>
      </c>
      <c r="P66" s="144">
        <f>((F51*'Construct &amp; Scrutinize 79 tones'!B273)*4)-(F66*7)</f>
        <v>-4</v>
      </c>
      <c r="Q66" s="47" t="s">
        <v>67</v>
      </c>
      <c r="R66" s="296">
        <f t="shared" si="18"/>
        <v>444</v>
      </c>
      <c r="S66" s="296">
        <f t="shared" si="21"/>
        <v>-6.359117836092764</v>
      </c>
    </row>
    <row r="67" spans="1:19" ht="12.75">
      <c r="A67" s="84">
        <f>('Construct &amp; Scrutinize 79 tones'!B170*(A4/'Construct &amp; Scrutinize 79 tones'!B168))</f>
        <v>447.73879722541744</v>
      </c>
      <c r="B67" s="90" t="s">
        <v>68</v>
      </c>
      <c r="C67" s="32">
        <f t="shared" si="19"/>
        <v>-5.96852124078805</v>
      </c>
      <c r="D67" s="105">
        <v>-6.002129564535608</v>
      </c>
      <c r="E67" s="32">
        <f>((F34*'Construct &amp; Scrutinize 79 tones'!B273)*2)-(F67*3)</f>
        <v>-5.25</v>
      </c>
      <c r="F67" s="85">
        <f t="shared" si="20"/>
        <v>447.75</v>
      </c>
      <c r="G67" s="90" t="s">
        <v>685</v>
      </c>
      <c r="H67" s="95">
        <f>(LOG10(F67/F6))*1200/(LOG10(2))</f>
        <v>927.7519445382131</v>
      </c>
      <c r="I67" s="32">
        <f>(F35*'Construct &amp; Scrutinize 79 tones'!B273)*2-(F67*3)</f>
        <v>6.75</v>
      </c>
      <c r="J67" s="32">
        <f>((F13*'Construct &amp; Scrutinize 79 tones'!B273)*4)-(F67*5)</f>
        <v>-10.75</v>
      </c>
      <c r="K67" s="144">
        <f>((F14*'Construct &amp; Scrutinize 79 tones'!B273)*4)-(F67*5)</f>
        <v>9.25</v>
      </c>
      <c r="L67" s="144">
        <f>((F15*'Construct &amp; Scrutinize 79 tones'!B273)*64)-(F67*81)</f>
        <v>20.25</v>
      </c>
      <c r="M67" s="144">
        <f>((F9*'Construct &amp; Scrutinize 79 tones'!B273)*5)-(F67*6)</f>
        <v>3.5</v>
      </c>
      <c r="N67" s="32">
        <f>((F8*'Construct &amp; Scrutinize 79 tones'!B273)*5)-(F67*6)</f>
        <v>-19</v>
      </c>
      <c r="O67" s="32">
        <f>((F7*'Construct &amp; Scrutinize 79 tones'!B273)*27)-(F67*32)</f>
        <v>-45</v>
      </c>
      <c r="P67" s="32">
        <f>((F52*'Construct &amp; Scrutinize 79 tones'!B273)*4)-(F67*7)</f>
        <v>9.75</v>
      </c>
      <c r="Q67" s="47" t="s">
        <v>68</v>
      </c>
      <c r="R67" s="296">
        <f t="shared" si="18"/>
        <v>448</v>
      </c>
      <c r="S67" s="296">
        <f t="shared" si="21"/>
        <v>-6.752129564535608</v>
      </c>
    </row>
    <row r="68" spans="1:19" ht="12.75">
      <c r="A68" s="84">
        <f>('Construct &amp; Scrutinize 79 tones'!B171*(A4/'Construct &amp; Scrutinize 79 tones'!B168))</f>
        <v>451.65908894094963</v>
      </c>
      <c r="B68" s="90" t="s">
        <v>69</v>
      </c>
      <c r="C68" s="32">
        <f t="shared" si="19"/>
        <v>-6.020780157190302</v>
      </c>
      <c r="D68" s="105">
        <v>-7.043513334341469</v>
      </c>
      <c r="E68" s="32">
        <f>((F35*'Construct &amp; Scrutinize 79 tones'!B273)*2)-(F68*3)</f>
        <v>-6</v>
      </c>
      <c r="F68" s="85">
        <f t="shared" si="20"/>
        <v>452</v>
      </c>
      <c r="G68" s="90" t="s">
        <v>611</v>
      </c>
      <c r="H68" s="95">
        <f>(LOG10(F68/F6))*1200/(LOG10(2))</f>
        <v>944.1071530532848</v>
      </c>
      <c r="I68" s="32">
        <f>(F36*'Construct &amp; Scrutinize 79 tones'!B273)*2-(F68*3)</f>
        <v>6</v>
      </c>
      <c r="J68" s="32">
        <f>((F14*'Construct &amp; Scrutinize 79 tones'!B273)*4)-(F68*5)</f>
        <v>-12</v>
      </c>
      <c r="K68" s="144">
        <f>((F15*'Construct &amp; Scrutinize 79 tones'!B273)*4)-(F68*5)</f>
        <v>8</v>
      </c>
      <c r="L68" s="144">
        <f>((F16*'Construct &amp; Scrutinize 79 tones'!B273)*64)-(F68*81)</f>
        <v>-4</v>
      </c>
      <c r="M68" s="144">
        <f>((F10*'Construct &amp; Scrutinize 79 tones'!B273)*5)-(F68*6)</f>
        <v>0.5</v>
      </c>
      <c r="N68" s="32">
        <f>((F9*'Construct &amp; Scrutinize 79 tones'!B273)*5)-(F68*6)</f>
        <v>-22</v>
      </c>
      <c r="O68" s="32">
        <f>((F8*'Construct &amp; Scrutinize 79 tones'!B273)*27)-(F68*32)</f>
        <v>-59.5</v>
      </c>
      <c r="P68" s="32">
        <f>((F53*'Construct &amp; Scrutinize 79 tones'!B273)*4)-(F68*7)</f>
        <v>8</v>
      </c>
      <c r="Q68" s="47" t="s">
        <v>69</v>
      </c>
      <c r="R68" s="296">
        <f t="shared" si="18"/>
        <v>452</v>
      </c>
      <c r="S68" s="296">
        <f t="shared" si="21"/>
        <v>-7.043513334341469</v>
      </c>
    </row>
    <row r="69" spans="1:19" ht="12.75">
      <c r="A69" s="84">
        <f>('Construct &amp; Scrutinize 79 tones'!B172*(A4/'Construct &amp; Scrutinize 79 tones'!B168))</f>
        <v>455.6137057746864</v>
      </c>
      <c r="B69" s="90" t="s">
        <v>70</v>
      </c>
      <c r="C69" s="32">
        <f t="shared" si="19"/>
        <v>-6.0734966399168115</v>
      </c>
      <c r="D69" s="105">
        <v>-7.232379315857543</v>
      </c>
      <c r="E69" s="32">
        <f>((F36*'Construct &amp; Scrutinize 79 tones'!B273)*2)-(F69*3)</f>
        <v>-6</v>
      </c>
      <c r="F69" s="85">
        <f t="shared" si="20"/>
        <v>456</v>
      </c>
      <c r="G69" s="90" t="s">
        <v>612</v>
      </c>
      <c r="H69" s="95">
        <f>(LOG10(F69/F6))*1200/(LOG10(2))</f>
        <v>959.3604151527497</v>
      </c>
      <c r="I69" s="32">
        <f>(F37*'Construct &amp; Scrutinize 79 tones'!B273)*2-(F69*3)</f>
        <v>6</v>
      </c>
      <c r="J69" s="32">
        <f>((F15*'Construct &amp; Scrutinize 79 tones'!B273)*4)-(F69*5)</f>
        <v>-12</v>
      </c>
      <c r="K69" s="144">
        <f>((F16*'Construct &amp; Scrutinize 79 tones'!B273)*4)-(F69*5)</f>
        <v>8</v>
      </c>
      <c r="L69" s="144">
        <f>((F17*'Construct &amp; Scrutinize 79 tones'!B273)*64)-(F69*81)</f>
        <v>-8</v>
      </c>
      <c r="M69" s="144">
        <f>((F11*'Construct &amp; Scrutinize 79 tones'!B273)*5)-(F69*6)</f>
        <v>1.5</v>
      </c>
      <c r="N69" s="32">
        <f>((F10*'Construct &amp; Scrutinize 79 tones'!B273)*5)-(F69*6)</f>
        <v>-23.5</v>
      </c>
      <c r="O69" s="32">
        <f>((F9*'Construct &amp; Scrutinize 79 tones'!B273)*27)-(F69*32)</f>
        <v>-66</v>
      </c>
      <c r="P69" s="32">
        <f>((F54*'Construct &amp; Scrutinize 79 tones'!B273)*4)-(F69*7)</f>
        <v>8</v>
      </c>
      <c r="Q69" s="47" t="s">
        <v>70</v>
      </c>
      <c r="R69" s="296">
        <f t="shared" si="18"/>
        <v>456</v>
      </c>
      <c r="S69" s="296">
        <f t="shared" si="21"/>
        <v>-7.232379315857543</v>
      </c>
    </row>
    <row r="70" spans="1:19" ht="12.75">
      <c r="A70" s="84">
        <f>('Construct &amp; Scrutinize 79 tones'!B173*(A4/'Construct &amp; Scrutinize 79 tones'!B168))</f>
        <v>459.602948268981</v>
      </c>
      <c r="B70" s="90" t="s">
        <v>71</v>
      </c>
      <c r="C70" s="32">
        <f t="shared" si="19"/>
        <v>-6.126674695313113</v>
      </c>
      <c r="D70" s="105">
        <v>-6.56782988837017</v>
      </c>
      <c r="E70" s="32">
        <f>((F37*'Construct &amp; Scrutinize 79 tones'!B273)*2)-(F70*3)</f>
        <v>-5.25</v>
      </c>
      <c r="F70" s="85">
        <f t="shared" si="20"/>
        <v>459.75</v>
      </c>
      <c r="G70" s="90" t="s">
        <v>687</v>
      </c>
      <c r="H70" s="95">
        <f>(LOG10(F70/F6))*1200/(LOG10(2))</f>
        <v>973.539315449385</v>
      </c>
      <c r="I70" s="32">
        <f>(F38*'Construct &amp; Scrutinize 79 tones'!B273)*2-(F70*3)</f>
        <v>6.75</v>
      </c>
      <c r="J70" s="32">
        <f>((F16*'Construct &amp; Scrutinize 79 tones'!B273)*4)-(F70*5)</f>
        <v>-10.75</v>
      </c>
      <c r="K70" s="144">
        <f>((F17*'Construct &amp; Scrutinize 79 tones'!B273)*4)-(F70*5)</f>
        <v>9.25</v>
      </c>
      <c r="L70" s="144">
        <f>((F18*'Construct &amp; Scrutinize 79 tones'!B273)*64)-(F70*81)</f>
        <v>8.25</v>
      </c>
      <c r="M70" s="144">
        <f>((F12*'Construct &amp; Scrutinize 79 tones'!B273)*5)-(F70*6)</f>
        <v>4</v>
      </c>
      <c r="N70" s="32">
        <f>((F11*'Construct &amp; Scrutinize 79 tones'!B273)*5)-(F70*6)</f>
        <v>-21</v>
      </c>
      <c r="O70" s="32">
        <f>((F10*'Construct &amp; Scrutinize 79 tones'!B273)*27)-(F70*32)</f>
        <v>-64.5</v>
      </c>
      <c r="P70" s="32">
        <f>((F55*'Construct &amp; Scrutinize 79 tones'!B273)*4)-(F70*7)</f>
        <v>9.75</v>
      </c>
      <c r="Q70" s="47" t="s">
        <v>71</v>
      </c>
      <c r="R70" s="296">
        <f aca="true" t="shared" si="23" ref="R70:R85">CEILING(A70,0.5)</f>
        <v>460</v>
      </c>
      <c r="S70" s="296">
        <f t="shared" si="21"/>
        <v>-7.31782988837017</v>
      </c>
    </row>
    <row r="71" spans="1:19" ht="12.75">
      <c r="A71" s="84">
        <f>('Construct &amp; Scrutinize 79 tones'!B174*(A4/'Construct &amp; Scrutinize 79 tones'!B168))</f>
        <v>463.6271195976682</v>
      </c>
      <c r="B71" s="90" t="s">
        <v>72</v>
      </c>
      <c r="C71" s="32">
        <f t="shared" si="19"/>
        <v>-6.18031836479372</v>
      </c>
      <c r="D71" s="105">
        <v>-6.548959571789283</v>
      </c>
      <c r="E71" s="32">
        <f>((F38*'Construct &amp; Scrutinize 79 tones'!B273)*2)-(F71*3)</f>
        <v>-5.25</v>
      </c>
      <c r="F71" s="85">
        <f t="shared" si="20"/>
        <v>463.75</v>
      </c>
      <c r="G71" s="90" t="s">
        <v>686</v>
      </c>
      <c r="H71" s="95">
        <f>(LOG10(F71/F6))*1200/(LOG10(2))</f>
        <v>988.5365639648585</v>
      </c>
      <c r="I71" s="32">
        <f>(F39*'Construct &amp; Scrutinize 79 tones'!B273)*2-(F71*3)</f>
        <v>6.083333333331893</v>
      </c>
      <c r="J71" s="32">
        <f>((F17*'Construct &amp; Scrutinize 79 tones'!B273)*4)-(F71*5)</f>
        <v>-10.75</v>
      </c>
      <c r="K71" s="144">
        <f>((F18*'Construct &amp; Scrutinize 79 tones'!B273)*4)-(F71*5)</f>
        <v>9.25</v>
      </c>
      <c r="L71" s="144">
        <f>((F19*'Construct &amp; Scrutinize 79 tones'!B273)*64)-(F71*81)</f>
        <v>4.25</v>
      </c>
      <c r="M71" s="144">
        <f>((F13*'Construct &amp; Scrutinize 79 tones'!B273)*5)-(F71*6)</f>
        <v>2.5</v>
      </c>
      <c r="N71" s="32">
        <f>((F12*'Construct &amp; Scrutinize 79 tones'!B273)*5)-(F71*6)</f>
        <v>-20</v>
      </c>
      <c r="O71" s="32">
        <f>((F11*'Construct &amp; Scrutinize 79 tones'!B273)*27)-(F71*32)</f>
        <v>-57.5</v>
      </c>
      <c r="P71" s="32">
        <f>((F56*'Construct &amp; Scrutinize 79 tones'!B273)*4)-(F71*7)</f>
        <v>9.75</v>
      </c>
      <c r="Q71" s="47" t="s">
        <v>72</v>
      </c>
      <c r="R71" s="296">
        <f t="shared" si="23"/>
        <v>464</v>
      </c>
      <c r="S71" s="296">
        <f t="shared" si="21"/>
        <v>-7.298959571789283</v>
      </c>
    </row>
    <row r="72" spans="1:19" ht="12.75">
      <c r="A72" s="84">
        <f>('Construct &amp; Scrutinize 79 tones'!B175*(A4/'Construct &amp; Scrutinize 79 tones'!B168))</f>
        <v>467.6865255891209</v>
      </c>
      <c r="B72" s="90" t="s">
        <v>73</v>
      </c>
      <c r="C72" s="32">
        <f t="shared" si="19"/>
        <v>-6.234431725157947</v>
      </c>
      <c r="D72" s="105">
        <v>-6.5081882911263165</v>
      </c>
      <c r="E72" s="32">
        <f>((F39*'Construct &amp; Scrutinize 79 tones'!B273)*2)-(F72*3)</f>
        <v>-5.9999999999990905</v>
      </c>
      <c r="F72" s="85">
        <f t="shared" si="20"/>
        <v>467.777777777777</v>
      </c>
      <c r="G72" s="90" t="s">
        <v>688</v>
      </c>
      <c r="H72" s="95">
        <f>(LOG10(F72/F6))*1200/(LOG10(2))</f>
        <v>1003.507817968792</v>
      </c>
      <c r="I72" s="32">
        <f>(F40*'Construct &amp; Scrutinize 79 tones'!B273)*2-(F72*3)</f>
        <v>6.666666666669016</v>
      </c>
      <c r="J72" s="32">
        <f>((F18*'Construct &amp; Scrutinize 79 tones'!B273)*4)-(F72*5)</f>
        <v>-10.888888888885049</v>
      </c>
      <c r="K72" s="144">
        <f>((F19*'Construct &amp; Scrutinize 79 tones'!B273)*4)-(F72*5)</f>
        <v>9.111111111114951</v>
      </c>
      <c r="L72" s="144">
        <f>((F20*'Construct &amp; Scrutinize 79 tones'!B273)*64)-(F72*81)</f>
        <v>-1.9999999999345164</v>
      </c>
      <c r="M72" s="144">
        <f>((F14*'Construct &amp; Scrutinize 79 tones'!B273)*5)-(F72*6)</f>
        <v>3.3333333333380324</v>
      </c>
      <c r="N72" s="32">
        <f>((F13*'Construct &amp; Scrutinize 79 tones'!B273)*5)-(F72*6)</f>
        <v>-21.666666666661968</v>
      </c>
      <c r="O72" s="32">
        <f>((F12*'Construct &amp; Scrutinize 79 tones'!B273)*27)-(F72*32)</f>
        <v>-51.38888888886322</v>
      </c>
      <c r="P72" s="32">
        <f>((F57*'Construct &amp; Scrutinize 79 tones'!B273)*4)-(F72*7)</f>
        <v>9.555555555561114</v>
      </c>
      <c r="Q72" s="47" t="s">
        <v>73</v>
      </c>
      <c r="R72" s="296">
        <v>467.777777777777</v>
      </c>
      <c r="S72" s="296">
        <f t="shared" si="21"/>
        <v>-6.5081882911263165</v>
      </c>
    </row>
    <row r="73" spans="1:19" ht="12.75">
      <c r="A73" s="84">
        <f>('Construct &amp; Scrutinize 79 tones'!B176*(A4/'Construct &amp; Scrutinize 79 tones'!B168))</f>
        <v>471.78147474942233</v>
      </c>
      <c r="B73" s="90" t="s">
        <v>74</v>
      </c>
      <c r="C73" s="32">
        <f t="shared" si="19"/>
        <v>-6.289018888912096</v>
      </c>
      <c r="D73" s="105">
        <v>-6.944594640645164</v>
      </c>
      <c r="E73" s="32">
        <f>((F40*'Construct &amp; Scrutinize 79 tones'!B273)*2)-(F73*3)</f>
        <v>-6</v>
      </c>
      <c r="F73" s="85">
        <f t="shared" si="20"/>
        <v>472</v>
      </c>
      <c r="G73" s="90" t="s">
        <v>689</v>
      </c>
      <c r="H73" s="95">
        <f>(LOG10(F73/F6))*1200/(LOG10(2))</f>
        <v>1019.064057389269</v>
      </c>
      <c r="I73" s="32">
        <f>(F41*'Construct &amp; Scrutinize 79 tones'!B273)*2-(F73*3)</f>
        <v>6</v>
      </c>
      <c r="J73" s="32">
        <f>((F19*'Construct &amp; Scrutinize 79 tones'!B273)*4)-(F73*5)</f>
        <v>-12</v>
      </c>
      <c r="K73" s="144">
        <f>((F20*'Construct &amp; Scrutinize 79 tones'!B273)*4)-(F73*5)</f>
        <v>8</v>
      </c>
      <c r="L73" s="144">
        <f>((F21*'Construct &amp; Scrutinize 79 tones'!B273)*64)-(F73*81)</f>
        <v>8</v>
      </c>
      <c r="M73" s="144">
        <f>((F15*'Construct &amp; Scrutinize 79 tones'!B273)*5)-(F73*6)</f>
        <v>3</v>
      </c>
      <c r="N73" s="32">
        <f>((F14*'Construct &amp; Scrutinize 79 tones'!B273)*5)-(F73*6)</f>
        <v>-22</v>
      </c>
      <c r="O73" s="32">
        <f>((F13*'Construct &amp; Scrutinize 79 tones'!B273)*27)-(F73*32)</f>
        <v>-65</v>
      </c>
      <c r="P73" s="32">
        <f>((F58*'Construct &amp; Scrutinize 79 tones'!B273)*4)-(F73*7)</f>
        <v>8</v>
      </c>
      <c r="Q73" s="47" t="s">
        <v>74</v>
      </c>
      <c r="R73" s="296">
        <f t="shared" si="23"/>
        <v>472</v>
      </c>
      <c r="S73" s="296">
        <f t="shared" si="21"/>
        <v>-6.944594640645164</v>
      </c>
    </row>
    <row r="74" spans="1:19" ht="12.75">
      <c r="A74" s="84">
        <f>('Construct &amp; Scrutinize 79 tones'!B177*(A4/'Construct &amp; Scrutinize 79 tones'!B168))</f>
        <v>475.91227828591144</v>
      </c>
      <c r="B74" s="90" t="s">
        <v>75</v>
      </c>
      <c r="C74" s="32">
        <f t="shared" si="19"/>
        <v>-6.344084004565502</v>
      </c>
      <c r="D74" s="105">
        <v>-6.607249146831236</v>
      </c>
      <c r="E74" s="32">
        <f>((F41*'Construct &amp; Scrutinize 79 tones'!B273)*2)-(F74*3)</f>
        <v>-6</v>
      </c>
      <c r="F74" s="85">
        <f t="shared" si="20"/>
        <v>476</v>
      </c>
      <c r="G74" s="90" t="s">
        <v>613</v>
      </c>
      <c r="H74" s="95">
        <f>(LOG10(F74/F6))*1200/(LOG10(2))</f>
        <v>1033.673714124592</v>
      </c>
      <c r="I74" s="32">
        <f>(F42*'Construct &amp; Scrutinize 79 tones'!B273)*2-(F74*3)</f>
        <v>7</v>
      </c>
      <c r="J74" s="32">
        <f>((F20*'Construct &amp; Scrutinize 79 tones'!B273)*4)-(F74*5)</f>
        <v>-12</v>
      </c>
      <c r="K74" s="144">
        <f>((F21*'Construct &amp; Scrutinize 79 tones'!B273)*4)-(F74*5)</f>
        <v>10</v>
      </c>
      <c r="L74" s="144">
        <f>((F22*'Construct &amp; Scrutinize 79 tones'!B273)*64)-(F74*81)</f>
        <v>4</v>
      </c>
      <c r="M74" s="144">
        <f>((F16*'Construct &amp; Scrutinize 79 tones'!B273)*5)-(F74*6)</f>
        <v>4</v>
      </c>
      <c r="N74" s="32">
        <f>((F15*'Construct &amp; Scrutinize 79 tones'!B273)*5)-(F74*6)</f>
        <v>-21</v>
      </c>
      <c r="O74" s="32">
        <f>((F14*'Construct &amp; Scrutinize 79 tones'!B273)*27)-(F74*32)</f>
        <v>-58</v>
      </c>
      <c r="P74" s="32">
        <f>((F59*'Construct &amp; Scrutinize 79 tones'!B273)*4)-(F74*7)</f>
        <v>10</v>
      </c>
      <c r="Q74" s="47" t="s">
        <v>75</v>
      </c>
      <c r="R74" s="296">
        <f t="shared" si="23"/>
        <v>476</v>
      </c>
      <c r="S74" s="296">
        <f t="shared" si="21"/>
        <v>-6.607249146831236</v>
      </c>
    </row>
    <row r="75" spans="1:19" ht="12.75">
      <c r="A75" s="84">
        <f>('Construct &amp; Scrutinize 79 tones'!B178*(A4/'Construct &amp; Scrutinize 79 tones'!B168))</f>
        <v>480.0792501307642</v>
      </c>
      <c r="B75" s="90" t="s">
        <v>76</v>
      </c>
      <c r="C75" s="32">
        <f t="shared" si="19"/>
        <v>-6.399631256936573</v>
      </c>
      <c r="D75" s="105">
        <v>-6.91188086464399</v>
      </c>
      <c r="E75" s="32">
        <f>((F42*'Construct &amp; Scrutinize 79 tones'!B273)*2)-(F75*3)</f>
        <v>-5.75</v>
      </c>
      <c r="F75" s="85">
        <f t="shared" si="20"/>
        <v>480.25</v>
      </c>
      <c r="G75" s="90" t="s">
        <v>614</v>
      </c>
      <c r="H75" s="95">
        <f>(LOG10(F75/F6))*1200/(LOG10(2))</f>
        <v>1049.0625625536925</v>
      </c>
      <c r="I75" s="32">
        <f>(F43*'Construct &amp; Scrutinize 79 tones'!B273)*2-(F75*3)</f>
        <v>6.25</v>
      </c>
      <c r="J75" s="32">
        <f>((F21*'Construct &amp; Scrutinize 79 tones'!B273)*4)-(F75*5)</f>
        <v>-11.25</v>
      </c>
      <c r="K75" s="144">
        <f>((F22*'Construct &amp; Scrutinize 79 tones'!B273)*4)-(F75*5)</f>
        <v>8.75</v>
      </c>
      <c r="L75" s="144">
        <f>((F23*'Construct &amp; Scrutinize 79 tones'!B273)*64)-(F75*81)</f>
        <v>11.75</v>
      </c>
      <c r="M75" s="144">
        <f>((F17*'Construct &amp; Scrutinize 79 tones'!B273)*5)-(F75*6)</f>
        <v>3.5</v>
      </c>
      <c r="N75" s="32">
        <f>((F16*'Construct &amp; Scrutinize 79 tones'!B273)*5)-(F75*6)</f>
        <v>-21.5</v>
      </c>
      <c r="O75" s="32">
        <f>((F15*'Construct &amp; Scrutinize 79 tones'!B273)*27)-(F75*32)</f>
        <v>-59</v>
      </c>
      <c r="P75" s="32">
        <f>((F60*'Construct &amp; Scrutinize 79 tones'!B273)*4)-(F75*7)</f>
        <v>8.25</v>
      </c>
      <c r="Q75" s="47" t="s">
        <v>76</v>
      </c>
      <c r="R75" s="296">
        <f t="shared" si="23"/>
        <v>480.5</v>
      </c>
      <c r="S75" s="296">
        <f t="shared" si="21"/>
        <v>-7.66188086464399</v>
      </c>
    </row>
    <row r="76" spans="1:19" ht="12.75">
      <c r="A76" s="84">
        <f>('Construct &amp; Scrutinize 79 tones'!B179*(A4/'Construct &amp; Scrutinize 79 tones'!B168))</f>
        <v>484.2827069648701</v>
      </c>
      <c r="B76" s="90" t="s">
        <v>77</v>
      </c>
      <c r="C76" s="32">
        <f t="shared" si="19"/>
        <v>-6.455664867502492</v>
      </c>
      <c r="D76" s="105">
        <v>-7.107543972892245</v>
      </c>
      <c r="E76" s="32">
        <f>((F43*'Construct &amp; Scrutinize 79 tones'!B273)*2)-(F76*3)</f>
        <v>-6.5</v>
      </c>
      <c r="F76" s="85">
        <f t="shared" si="20"/>
        <v>484.5</v>
      </c>
      <c r="G76" s="90" t="s">
        <v>615</v>
      </c>
      <c r="H76" s="95">
        <f>(LOG10(F76/F6))*1200/(LOG10(2))</f>
        <v>1064.3158246531568</v>
      </c>
      <c r="I76" s="32">
        <f>(F44*'Construct &amp; Scrutinize 79 tones'!B273)*2-(F76*3)</f>
        <v>6.5</v>
      </c>
      <c r="J76" s="32">
        <f>((F22*'Construct &amp; Scrutinize 79 tones'!B273)*4)-(F76*5)</f>
        <v>-12.5</v>
      </c>
      <c r="K76" s="144">
        <f>((F23*'Construct &amp; Scrutinize 79 tones'!B273)*4)-(F76*5)</f>
        <v>9.5</v>
      </c>
      <c r="L76" s="144">
        <f>((F24*'Construct &amp; Scrutinize 79 tones'!B273)*64)-(F76*81)</f>
        <v>-12.5</v>
      </c>
      <c r="M76" s="144">
        <f>((F18*'Construct &amp; Scrutinize 79 tones'!B273)*5)-(F76*6)</f>
        <v>3</v>
      </c>
      <c r="N76" s="32">
        <f>((F17*'Construct &amp; Scrutinize 79 tones'!B273)*5)-(F76*6)</f>
        <v>-22</v>
      </c>
      <c r="O76" s="32">
        <f>((F16*'Construct &amp; Scrutinize 79 tones'!B273)*27)-(F76*32)</f>
        <v>-60</v>
      </c>
      <c r="P76" s="32">
        <f>((F61*'Construct &amp; Scrutinize 79 tones'!B273)*4)-(F76*7)</f>
        <v>8.5</v>
      </c>
      <c r="Q76" s="47" t="s">
        <v>77</v>
      </c>
      <c r="R76" s="296">
        <f t="shared" si="23"/>
        <v>484.5</v>
      </c>
      <c r="S76" s="296">
        <f t="shared" si="21"/>
        <v>-7.107543972892245</v>
      </c>
    </row>
    <row r="77" spans="1:19" ht="12.75">
      <c r="A77" s="86">
        <f>('Construct &amp; Scrutinize 79 tones'!B180*(A4/'Construct &amp; Scrutinize 79 tones'!B168))</f>
        <v>488.5229682418882</v>
      </c>
      <c r="B77" s="90" t="s">
        <v>78</v>
      </c>
      <c r="C77" s="32">
        <f t="shared" si="19"/>
        <v>-6.512189094694804</v>
      </c>
      <c r="D77" s="105">
        <v>-7.1932843690301524</v>
      </c>
      <c r="E77" s="32">
        <f>((F44*'Construct &amp; Scrutinize 79 tones'!B273)*2)-(F77*3)</f>
        <v>-6.25</v>
      </c>
      <c r="F77" s="93">
        <f t="shared" si="20"/>
        <v>488.75</v>
      </c>
      <c r="G77" s="90" t="s">
        <v>690</v>
      </c>
      <c r="H77" s="95">
        <f>(LOG10(F77/F6))*1200/(LOG10(2))</f>
        <v>1079.4358687887172</v>
      </c>
      <c r="I77" s="32">
        <f>(F45*'Construct &amp; Scrutinize 79 tones'!B273)*2-(F77*3)</f>
        <v>6.75</v>
      </c>
      <c r="J77" s="32">
        <f>((F23*'Construct &amp; Scrutinize 79 tones'!B273)*4)-(F77*5)</f>
        <v>-11.75</v>
      </c>
      <c r="K77" s="144">
        <f>((F24*'Construct &amp; Scrutinize 79 tones'!B273)*4)-(F77*5)</f>
        <v>8.25</v>
      </c>
      <c r="L77" s="144">
        <f>((F25*'Construct &amp; Scrutinize 79 tones'!B273)*64)-(F77*81)</f>
        <v>-4.75</v>
      </c>
      <c r="M77" s="144">
        <f>((F19*'Construct &amp; Scrutinize 79 tones'!B273)*5)-(F77*6)</f>
        <v>2.5</v>
      </c>
      <c r="N77" s="32">
        <f>((F18*'Construct &amp; Scrutinize 79 tones'!B273)*5)-(F77*6)</f>
        <v>-22.5</v>
      </c>
      <c r="O77" s="32">
        <f>((F17*'Construct &amp; Scrutinize 79 tones'!B273)*27)-(F77*32)</f>
        <v>-61</v>
      </c>
      <c r="P77" s="32">
        <f>((F62*'Construct &amp; Scrutinize 79 tones'!B273)*4)-(F77*7)</f>
        <v>8.75</v>
      </c>
      <c r="Q77" s="47" t="s">
        <v>78</v>
      </c>
      <c r="R77" s="296">
        <f t="shared" si="23"/>
        <v>489</v>
      </c>
      <c r="S77" s="296">
        <f t="shared" si="21"/>
        <v>-7.9432843690301524</v>
      </c>
    </row>
    <row r="78" spans="1:19" ht="12.75">
      <c r="A78" s="82">
        <f>('Construct &amp; Scrutinize 79 tones'!B181*(A4/'Construct &amp; Scrutinize 79 tones'!B168))</f>
        <v>492.8003562125452</v>
      </c>
      <c r="B78" s="91" t="s">
        <v>357</v>
      </c>
      <c r="C78" s="104">
        <f t="shared" si="19"/>
        <v>-6.569208234238658</v>
      </c>
      <c r="D78" s="105">
        <v>-6.418139596603169</v>
      </c>
      <c r="E78" s="104">
        <f>((F45*'Construct &amp; Scrutinize 79 tones'!B273)*2)-(F78*3)</f>
        <v>-5.25</v>
      </c>
      <c r="F78" s="82">
        <f t="shared" si="20"/>
        <v>492.75</v>
      </c>
      <c r="G78" s="91" t="s">
        <v>691</v>
      </c>
      <c r="H78" s="96">
        <f>(LOG10(F78/F6))*1200/(LOG10(2))</f>
        <v>1093.5468714072426</v>
      </c>
      <c r="I78" s="104">
        <f>(F46*'Construct &amp; Scrutinize 79 tones'!B273)*2-(F78*3)</f>
        <v>6.75</v>
      </c>
      <c r="J78" s="104">
        <f>((F24*'Construct &amp; Scrutinize 79 tones'!B273)*4)-(F78*5)</f>
        <v>-11.75</v>
      </c>
      <c r="K78" s="294">
        <f>((F25*'Construct &amp; Scrutinize 79 tones'!B273)*4)-(F78*5)</f>
        <v>10.25</v>
      </c>
      <c r="L78" s="294">
        <f>((F26*'Construct &amp; Scrutinize 79 tones'!B273)*64)-(F78*81)</f>
        <v>23.25</v>
      </c>
      <c r="M78" s="294">
        <f>((F20*'Construct &amp; Scrutinize 79 tones'!B273)*5)-(F78*6)</f>
        <v>3.5</v>
      </c>
      <c r="N78" s="104">
        <f>((F19*'Construct &amp; Scrutinize 79 tones'!B273)*5)-(F78*6)</f>
        <v>-21.5</v>
      </c>
      <c r="O78" s="104">
        <f>((F18*'Construct &amp; Scrutinize 79 tones'!B273)*27)-(F78*32)</f>
        <v>-54</v>
      </c>
      <c r="P78" s="104">
        <f>((F63*'Construct &amp; Scrutinize 79 tones'!B273)*4)-(F78*7)</f>
        <v>10.75</v>
      </c>
      <c r="Q78" s="48" t="s">
        <v>357</v>
      </c>
      <c r="R78" s="296">
        <f>492.75</f>
        <v>492.75</v>
      </c>
      <c r="S78" s="296">
        <f t="shared" si="21"/>
        <v>-6.418139596603169</v>
      </c>
    </row>
    <row r="79" spans="1:19" ht="12.75">
      <c r="A79" s="85">
        <f>('Construct &amp; Scrutinize 79 tones'!B182*(A4/'Construct &amp; Scrutinize 79 tones'!B168))</f>
        <v>497.1151959491291</v>
      </c>
      <c r="B79" s="90" t="s">
        <v>80</v>
      </c>
      <c r="C79" s="32">
        <f t="shared" si="19"/>
        <v>-6.626726619458623</v>
      </c>
      <c r="D79" s="105">
        <v>-7.031138772071245</v>
      </c>
      <c r="E79" s="32">
        <f>((F46*'Construct &amp; Scrutinize 79 tones'!B273)*2)-(F79*3)</f>
        <v>-6.75</v>
      </c>
      <c r="F79" s="85">
        <f t="shared" si="20"/>
        <v>497.25</v>
      </c>
      <c r="G79" s="90" t="s">
        <v>616</v>
      </c>
      <c r="H79" s="95">
        <f>(LOG10(F79/F6))*1200/(LOG10(2))</f>
        <v>1109.2854711555524</v>
      </c>
      <c r="I79" s="32">
        <f>(F47*'Construct &amp; Scrutinize 79 tones'!B273)*2-(F79*3)</f>
        <v>7.25</v>
      </c>
      <c r="J79" s="32">
        <f>((F25*'Construct &amp; Scrutinize 79 tones'!B273)*4)-(F79*5)</f>
        <v>-12.25</v>
      </c>
      <c r="K79" s="144">
        <f>((F26*'Construct &amp; Scrutinize 79 tones'!B273)*4)-(F79*5)</f>
        <v>9.75</v>
      </c>
      <c r="L79" s="144">
        <f>((F27*'Construct &amp; Scrutinize 79 tones'!B273)*64)-(F79*81)</f>
        <v>10.75</v>
      </c>
      <c r="M79" s="144">
        <f>((F21*'Construct &amp; Scrutinize 79 tones'!B273)*5)-(F79*6)</f>
        <v>4</v>
      </c>
      <c r="N79" s="32">
        <f>((F20*'Construct &amp; Scrutinize 79 tones'!B273)*5)-(F79*6)</f>
        <v>-23.5</v>
      </c>
      <c r="O79" s="32">
        <f>((F19*'Construct &amp; Scrutinize 79 tones'!B273)*27)-(F79*32)</f>
        <v>-63</v>
      </c>
      <c r="P79" s="32">
        <f>((F64*'Construct &amp; Scrutinize 79 tones'!B273)*4)-(F79*7)</f>
        <v>9.25</v>
      </c>
      <c r="Q79" s="47" t="s">
        <v>80</v>
      </c>
      <c r="R79" s="296">
        <f t="shared" si="23"/>
        <v>497.5</v>
      </c>
      <c r="S79" s="296">
        <f t="shared" si="21"/>
        <v>-7.781138772071245</v>
      </c>
    </row>
    <row r="80" spans="1:19" ht="12.75">
      <c r="A80" s="84">
        <f>('Construct &amp; Scrutinize 79 tones'!B183*(A4/'Construct &amp; Scrutinize 79 tones'!B168))</f>
        <v>501.4678153701414</v>
      </c>
      <c r="B80" s="90" t="s">
        <v>81</v>
      </c>
      <c r="C80" s="32">
        <f t="shared" si="19"/>
        <v>-6.684748621635663</v>
      </c>
      <c r="D80" s="105">
        <v>-6.781302511211379</v>
      </c>
      <c r="E80" s="32">
        <f>((F47*'Construct &amp; Scrutinize 79 tones'!B273)*2)-(F80*3)</f>
        <v>-5.5</v>
      </c>
      <c r="F80" s="85">
        <f t="shared" si="20"/>
        <v>501.5</v>
      </c>
      <c r="G80" s="90" t="s">
        <v>617</v>
      </c>
      <c r="H80" s="95">
        <f>(LOG10(F80/F6))*1200/(LOG10(2))</f>
        <v>1124.0194668896766</v>
      </c>
      <c r="I80" s="32">
        <f>(F48*'Construct &amp; Scrutinize 79 tones'!B273)*2-(F80*3)</f>
        <v>7.5</v>
      </c>
      <c r="J80" s="32">
        <f>((F26*'Construct &amp; Scrutinize 79 tones'!B273)*4)-(F80*5)</f>
        <v>-11.5</v>
      </c>
      <c r="K80" s="144">
        <f>((F27*'Construct &amp; Scrutinize 79 tones'!B273)*4)-(F80*5)</f>
        <v>10.5</v>
      </c>
      <c r="L80" s="144">
        <f>((F28*'Construct &amp; Scrutinize 79 tones'!B273)*64)-(F80*81)</f>
        <v>18.5</v>
      </c>
      <c r="M80" s="144">
        <f>((F22*'Construct &amp; Scrutinize 79 tones'!B273)*5)-(F80*6)</f>
        <v>3.5</v>
      </c>
      <c r="N80" s="32">
        <f>((F21*'Construct &amp; Scrutinize 79 tones'!B273)*5)-(F80*6)</f>
        <v>-21.5</v>
      </c>
      <c r="O80" s="32">
        <f>((F20*'Construct &amp; Scrutinize 79 tones'!B273)*27)-(F80*32)</f>
        <v>-64</v>
      </c>
      <c r="P80" s="32">
        <f>((F65*'Construct &amp; Scrutinize 79 tones'!B273)*4)-(F80*7)</f>
        <v>9.5</v>
      </c>
      <c r="Q80" s="47" t="s">
        <v>81</v>
      </c>
      <c r="R80" s="296">
        <f t="shared" si="23"/>
        <v>501.5</v>
      </c>
      <c r="S80" s="296">
        <f t="shared" si="21"/>
        <v>-6.781302511211379</v>
      </c>
    </row>
    <row r="81" spans="1:19" ht="12.75">
      <c r="A81" s="84">
        <f>('Construct &amp; Scrutinize 79 tones'!B184*(A4/'Construct &amp; Scrutinize 79 tones'!B168))</f>
        <v>505.8585452653035</v>
      </c>
      <c r="B81" s="90" t="s">
        <v>82</v>
      </c>
      <c r="C81" s="32">
        <f t="shared" si="19"/>
        <v>-6.74327865031637</v>
      </c>
      <c r="D81" s="105">
        <v>-7.167642854405813</v>
      </c>
      <c r="E81" s="32">
        <f>((F48*'Construct &amp; Scrutinize 79 tones'!B273)*2)-(F81*3)</f>
        <v>-6</v>
      </c>
      <c r="F81" s="85">
        <f t="shared" si="20"/>
        <v>506</v>
      </c>
      <c r="G81" s="90" t="s">
        <v>618</v>
      </c>
      <c r="H81" s="95">
        <f>(LOG10(F81/F6))*1200/(LOG10(2))</f>
        <v>1139.484687788232</v>
      </c>
      <c r="I81" s="32">
        <f>(F49*'Construct &amp; Scrutinize 79 tones'!B273)*2-(F81*3)</f>
        <v>7</v>
      </c>
      <c r="J81" s="32">
        <f>((F27*'Construct &amp; Scrutinize 79 tones'!B273)*4)-(F81*5)</f>
        <v>-12</v>
      </c>
      <c r="K81" s="144">
        <f>((F28*'Construct &amp; Scrutinize 79 tones'!B273)*4)-(F81*5)</f>
        <v>10</v>
      </c>
      <c r="L81" s="144">
        <f>((F29*'Construct &amp; Scrutinize 79 tones'!B273)*64)-(F81*81)</f>
        <v>6</v>
      </c>
      <c r="M81" s="144">
        <f>((F23*'Construct &amp; Scrutinize 79 tones'!B273)*5)-(F81*6)</f>
        <v>4</v>
      </c>
      <c r="N81" s="32">
        <f>((F22*'Construct &amp; Scrutinize 79 tones'!B273)*5)-(F81*6)</f>
        <v>-23.5</v>
      </c>
      <c r="O81" s="32">
        <f>((F21*'Construct &amp; Scrutinize 79 tones'!B273)*27)-(F81*32)</f>
        <v>-59.5</v>
      </c>
      <c r="P81" s="32">
        <f>((F66*'Construct &amp; Scrutinize 79 tones'!B273)*4)-(F81*7)</f>
        <v>10</v>
      </c>
      <c r="Q81" s="47" t="s">
        <v>82</v>
      </c>
      <c r="R81" s="296">
        <f t="shared" si="23"/>
        <v>506</v>
      </c>
      <c r="S81" s="296">
        <f t="shared" si="21"/>
        <v>-7.167642854405813</v>
      </c>
    </row>
    <row r="82" spans="1:19" ht="12.75">
      <c r="A82" s="84">
        <f>('Construct &amp; Scrutinize 79 tones'!B185*(A4/'Construct &amp; Scrutinize 79 tones'!B168))</f>
        <v>510.2877193206437</v>
      </c>
      <c r="B82" s="90" t="s">
        <v>83</v>
      </c>
      <c r="C82" s="32">
        <f t="shared" si="19"/>
        <v>-6.80232115365493</v>
      </c>
      <c r="D82" s="105">
        <v>-6.689163191723765</v>
      </c>
      <c r="E82" s="32">
        <f>((F49*'Construct &amp; Scrutinize 79 tones'!B273)*2)-(F82*3)</f>
        <v>-5.75</v>
      </c>
      <c r="F82" s="85">
        <f t="shared" si="20"/>
        <v>510.25</v>
      </c>
      <c r="G82" s="90" t="s">
        <v>619</v>
      </c>
      <c r="H82" s="95">
        <f>(LOG10(F82/F6))*1200/(LOG10(2))</f>
        <v>1153.9649585943228</v>
      </c>
      <c r="I82" s="32">
        <f>(F50*'Construct &amp; Scrutinize 79 tones'!B273)*2-(F82*3)</f>
        <v>8.25</v>
      </c>
      <c r="J82" s="32">
        <f>((F28*'Construct &amp; Scrutinize 79 tones'!B273)*4)-(F82*5)</f>
        <v>-11.25</v>
      </c>
      <c r="K82" s="144">
        <f>((F29*'Construct &amp; Scrutinize 79 tones'!B273)*4)-(F82*5)</f>
        <v>10.75</v>
      </c>
      <c r="L82" s="144">
        <f>((F30*'Construct &amp; Scrutinize 79 tones'!B273)*64)-(F82*81)</f>
        <v>13.75</v>
      </c>
      <c r="M82" s="144">
        <f>((F24*'Construct &amp; Scrutinize 79 tones'!B273)*5)-(F82*6)</f>
        <v>3.5</v>
      </c>
      <c r="N82" s="32">
        <f>((F23*'Construct &amp; Scrutinize 79 tones'!B273)*5)-(F82*6)</f>
        <v>-21.5</v>
      </c>
      <c r="O82" s="32">
        <f>((F22*'Construct &amp; Scrutinize 79 tones'!B273)*27)-(F82*32)</f>
        <v>-60.5</v>
      </c>
      <c r="P82" s="32">
        <f>((F67*'Construct &amp; Scrutinize 79 tones'!B273)*4)-(F82*7)</f>
        <v>10.25</v>
      </c>
      <c r="Q82" s="47" t="s">
        <v>83</v>
      </c>
      <c r="R82" s="296">
        <f t="shared" si="23"/>
        <v>510.5</v>
      </c>
      <c r="S82" s="296">
        <f t="shared" si="21"/>
        <v>-7.439163191723765</v>
      </c>
    </row>
    <row r="83" spans="1:19" ht="12.75">
      <c r="A83" s="84">
        <f>('Construct &amp; Scrutinize 79 tones'!B186*(A4/'Construct &amp; Scrutinize 79 tones'!B168))</f>
        <v>514.7556741438408</v>
      </c>
      <c r="B83" s="90" t="s">
        <v>84</v>
      </c>
      <c r="C83" s="32">
        <f t="shared" si="19"/>
        <v>-6.861880618749865</v>
      </c>
      <c r="D83" s="105">
        <v>-6.8448581872273735</v>
      </c>
      <c r="E83" s="32">
        <f>((F50*'Construct &amp; Scrutinize 79 tones'!B273)*2)-(F83*3)</f>
        <v>-5.25</v>
      </c>
      <c r="F83" s="85">
        <f t="shared" si="20"/>
        <v>514.75</v>
      </c>
      <c r="G83" s="90" t="s">
        <v>692</v>
      </c>
      <c r="H83" s="95">
        <f>(LOG10(F83/F6))*1200/(LOG10(2))</f>
        <v>1169.1661357137648</v>
      </c>
      <c r="I83" s="32">
        <f>(F51*'Construct &amp; Scrutinize 79 tones'!B273)*2-(F83*3)</f>
        <v>7.75</v>
      </c>
      <c r="J83" s="32">
        <f>((F29*'Construct &amp; Scrutinize 79 tones'!B273)*4)-(F83*5)</f>
        <v>-11.75</v>
      </c>
      <c r="K83" s="144">
        <f>((F30*'Construct &amp; Scrutinize 79 tones'!B273)*4)-(F83*5)</f>
        <v>10.25</v>
      </c>
      <c r="L83" s="144">
        <f>((F31*'Construct &amp; Scrutinize 79 tones'!B273)*64)-(F83*81)</f>
        <v>33.25</v>
      </c>
      <c r="M83" s="144">
        <f>((F25*'Construct &amp; Scrutinize 79 tones'!B273)*5)-(F83*6)</f>
        <v>4</v>
      </c>
      <c r="N83" s="32">
        <f>((F24*'Construct &amp; Scrutinize 79 tones'!B273)*5)-(F83*6)</f>
        <v>-23.5</v>
      </c>
      <c r="O83" s="32">
        <f>((F23*'Construct &amp; Scrutinize 79 tones'!B273)*27)-(F83*32)</f>
        <v>-56</v>
      </c>
      <c r="P83" s="32">
        <f>((F68*'Construct &amp; Scrutinize 79 tones'!B273)*4)-(F83*7)</f>
        <v>12.75</v>
      </c>
      <c r="Q83" s="47" t="s">
        <v>84</v>
      </c>
      <c r="R83" s="296">
        <f t="shared" si="23"/>
        <v>515</v>
      </c>
      <c r="S83" s="296">
        <f t="shared" si="21"/>
        <v>-7.5948581872273735</v>
      </c>
    </row>
    <row r="84" spans="1:19" ht="12.75">
      <c r="A84" s="84">
        <f>('Construct &amp; Scrutinize 79 tones'!B187*(A4/'Construct &amp; Scrutinize 79 tones'!B168))</f>
        <v>519.2627492898347</v>
      </c>
      <c r="B84" s="90" t="s">
        <v>85</v>
      </c>
      <c r="C84" s="32">
        <f t="shared" si="19"/>
        <v>-6.9219615719941885</v>
      </c>
      <c r="D84" s="105">
        <v>-6.883713702490013</v>
      </c>
      <c r="E84" s="32">
        <f>((F51*'Construct &amp; Scrutinize 79 tones'!B273)*2)-(F84*3)</f>
        <v>-5.75</v>
      </c>
      <c r="F84" s="93">
        <f t="shared" si="20"/>
        <v>519.25</v>
      </c>
      <c r="G84" s="90" t="s">
        <v>620</v>
      </c>
      <c r="H84" s="95">
        <f>(LOG10(F84/F6))*1200/(LOG10(2))</f>
        <v>1184.234999168637</v>
      </c>
      <c r="I84" s="32"/>
      <c r="J84" s="32">
        <f>((F30*'Construct &amp; Scrutinize 79 tones'!B273)*4)-(F84*5)</f>
        <v>-12.25</v>
      </c>
      <c r="K84" s="144">
        <f>((F31*'Construct &amp; Scrutinize 79 tones'!B273)*4)-(F84*5)</f>
        <v>11.75</v>
      </c>
      <c r="L84" s="144">
        <f>((F32*'Construct &amp; Scrutinize 79 tones'!B273)*64)-(F84*81)</f>
        <v>20.75</v>
      </c>
      <c r="M84" s="144">
        <f>((F26*'Construct &amp; Scrutinize 79 tones'!B273)*5)-(F84*6)</f>
        <v>4.5</v>
      </c>
      <c r="N84" s="32">
        <f>((F25*'Construct &amp; Scrutinize 79 tones'!B273)*5)-(F84*6)</f>
        <v>-23</v>
      </c>
      <c r="O84" s="32">
        <f>((F24*'Construct &amp; Scrutinize 79 tones'!B273)*27)-(F84*32)</f>
        <v>-65</v>
      </c>
      <c r="P84" s="32">
        <f>((F69*'Construct &amp; Scrutinize 79 tones'!B273)*4)-(F84*7)</f>
        <v>13.25</v>
      </c>
      <c r="Q84" s="47" t="s">
        <v>85</v>
      </c>
      <c r="R84" s="296">
        <f t="shared" si="23"/>
        <v>519.5</v>
      </c>
      <c r="S84" s="296">
        <f t="shared" si="21"/>
        <v>-7.633713702490013</v>
      </c>
    </row>
    <row r="85" spans="1:19" ht="12.75">
      <c r="A85" s="80">
        <f>('Construct &amp; Scrutinize 79 tones'!B188*(A4/'Construct &amp; Scrutinize 79 tones'!B168))</f>
        <v>523.809287286653</v>
      </c>
      <c r="B85" s="91" t="s">
        <v>358</v>
      </c>
      <c r="C85" s="104">
        <f t="shared" si="19"/>
        <v>0</v>
      </c>
      <c r="D85" s="105">
        <v>-0.5721381400408063</v>
      </c>
      <c r="E85" s="104">
        <f>((F52*'Construct &amp; Scrutinize 79 tones'!B273)*2)-(F85*3)</f>
        <v>0</v>
      </c>
      <c r="F85" s="82">
        <f t="shared" si="20"/>
        <v>524</v>
      </c>
      <c r="G85" s="92" t="s">
        <v>588</v>
      </c>
      <c r="H85" s="133">
        <f>(LOG10(F85/F6))*1200/(LOG10(2))</f>
        <v>1200</v>
      </c>
      <c r="I85" s="104"/>
      <c r="J85" s="104">
        <f>((F31*'Construct &amp; Scrutinize 79 tones'!B273)*4)-(F85*5)</f>
        <v>-12</v>
      </c>
      <c r="K85" s="294">
        <f>((F32*'Construct &amp; Scrutinize 79 tones'!B273)*4)-(F85*5)</f>
        <v>10</v>
      </c>
      <c r="L85" s="294">
        <f>((F33*'Construct &amp; Scrutinize 79 tones'!B273)*64)-(F85*81)</f>
        <v>20</v>
      </c>
      <c r="M85" s="294">
        <f>((F27*'Construct &amp; Scrutinize 79 tones'!B273)*5)-(F85*6)</f>
        <v>3.5</v>
      </c>
      <c r="N85" s="104">
        <f>((F26*'Construct &amp; Scrutinize 79 tones'!B273)*5)-(F85*6)</f>
        <v>-24</v>
      </c>
      <c r="O85" s="104">
        <f>((F25*'Construct &amp; Scrutinize 79 tones'!B273)*27)-(F85*32)</f>
        <v>-68.5</v>
      </c>
      <c r="P85" s="104">
        <f>((F70*'Construct &amp; Scrutinize 79 tones'!B273)*4)-(F85*7)</f>
        <v>10</v>
      </c>
      <c r="Q85" s="48" t="s">
        <v>358</v>
      </c>
      <c r="R85" s="296">
        <f t="shared" si="23"/>
        <v>524</v>
      </c>
      <c r="S85" s="296">
        <f t="shared" si="21"/>
        <v>-0.5721381400408063</v>
      </c>
    </row>
    <row r="86" spans="1:19" ht="12.75">
      <c r="A86" s="117"/>
      <c r="B86" s="118"/>
      <c r="C86" s="116"/>
      <c r="D86" s="116"/>
      <c r="E86" s="137"/>
      <c r="F86" s="399"/>
      <c r="G86" s="400"/>
      <c r="H86" s="136"/>
      <c r="I86" s="135"/>
      <c r="J86" s="139"/>
      <c r="K86" s="287"/>
      <c r="L86" s="140"/>
      <c r="M86" s="141"/>
      <c r="N86" s="291"/>
      <c r="O86" s="142"/>
      <c r="P86" s="143"/>
      <c r="R86" s="296"/>
      <c r="S86" s="296"/>
    </row>
    <row r="87" spans="1:19" ht="12.75">
      <c r="A87" s="119"/>
      <c r="B87" s="118"/>
      <c r="C87" s="116"/>
      <c r="D87" s="116"/>
      <c r="E87" s="403"/>
      <c r="F87" s="403"/>
      <c r="G87" s="402"/>
      <c r="H87" s="138" t="s">
        <v>503</v>
      </c>
      <c r="I87" s="132" t="s">
        <v>509</v>
      </c>
      <c r="J87" s="127" t="s">
        <v>504</v>
      </c>
      <c r="K87" s="288" t="s">
        <v>581</v>
      </c>
      <c r="L87" s="128" t="s">
        <v>505</v>
      </c>
      <c r="M87" s="129" t="s">
        <v>507</v>
      </c>
      <c r="N87" s="292" t="s">
        <v>583</v>
      </c>
      <c r="O87" s="130" t="s">
        <v>506</v>
      </c>
      <c r="P87" s="131" t="s">
        <v>508</v>
      </c>
      <c r="R87" s="296"/>
      <c r="S87" s="296"/>
    </row>
    <row r="88" spans="1:19" ht="12.75">
      <c r="A88" s="120"/>
      <c r="B88" s="118"/>
      <c r="C88" s="116"/>
      <c r="D88" s="134"/>
      <c r="E88" s="401"/>
      <c r="F88" s="401"/>
      <c r="G88" s="402"/>
      <c r="H88" s="122"/>
      <c r="I88" s="145" t="s">
        <v>516</v>
      </c>
      <c r="J88" s="123"/>
      <c r="K88" s="289"/>
      <c r="L88" s="121"/>
      <c r="M88" s="124"/>
      <c r="N88" s="293"/>
      <c r="O88" s="125"/>
      <c r="P88" s="126"/>
      <c r="R88" s="296"/>
      <c r="S88" s="296"/>
    </row>
    <row r="89" spans="1:19" ht="12.75">
      <c r="A89" s="83">
        <f>(A7*'Construct &amp; Scrutinize 79 tones'!B188)</f>
        <v>528.3956336613704</v>
      </c>
      <c r="B89" s="90" t="s">
        <v>368</v>
      </c>
      <c r="C89" s="32">
        <f aca="true" t="shared" si="24" ref="C89:C104">(A135*2)-(A89*3)</f>
        <v>2.0463630789890885E-12</v>
      </c>
      <c r="D89" s="88"/>
      <c r="E89" s="397"/>
      <c r="F89" s="397"/>
      <c r="G89" s="397"/>
      <c r="H89" s="298">
        <f>H52</f>
        <v>701.9550008653873</v>
      </c>
      <c r="R89" s="296"/>
      <c r="S89" s="296"/>
    </row>
    <row r="90" spans="1:19" ht="12.75">
      <c r="A90" s="83">
        <f>(A8*'Construct &amp; Scrutinize 79 tones'!B188)</f>
        <v>533.0221369664272</v>
      </c>
      <c r="B90" s="90" t="s">
        <v>369</v>
      </c>
      <c r="C90" s="32">
        <f t="shared" si="24"/>
        <v>2.0463630789890885E-12</v>
      </c>
      <c r="D90" s="88"/>
      <c r="E90" s="397"/>
      <c r="F90" s="397"/>
      <c r="G90" s="397"/>
      <c r="H90" s="298">
        <f ca="1">(INDIRECT(ADDRESS((6*2)+(46*2)-(85),8,1))+$H$85)-$H89</f>
        <v>694.5974290217348</v>
      </c>
      <c r="S90" s="296"/>
    </row>
    <row r="91" spans="1:19" ht="12.75">
      <c r="A91" s="83">
        <f>(A9*'Construct &amp; Scrutinize 79 tones'!B188)</f>
        <v>537.689148806132</v>
      </c>
      <c r="B91" s="90" t="s">
        <v>370</v>
      </c>
      <c r="C91" s="32">
        <f t="shared" si="24"/>
        <v>0</v>
      </c>
      <c r="D91" s="88"/>
      <c r="E91" s="398" t="s">
        <v>366</v>
      </c>
      <c r="F91" s="398"/>
      <c r="G91" s="398"/>
      <c r="H91" s="298">
        <f ca="1">INDIRECT(ADDRESS((6*2)+(46*3)-(85),8,1))-(INDIRECT(ADDRESS((6*2)+(46*2)-(85),8,1)))</f>
        <v>700.971624497529</v>
      </c>
      <c r="S91" s="296"/>
    </row>
    <row r="92" spans="1:19" ht="12.75">
      <c r="A92" s="83">
        <f>(A10*'Construct &amp; Scrutinize 79 tones'!B188)</f>
        <v>542.3970238633411</v>
      </c>
      <c r="B92" s="90" t="s">
        <v>371</v>
      </c>
      <c r="C92" s="32">
        <f t="shared" si="24"/>
        <v>0</v>
      </c>
      <c r="D92" s="88"/>
      <c r="E92" s="398" t="s">
        <v>363</v>
      </c>
      <c r="F92" s="398"/>
      <c r="G92" s="398"/>
      <c r="H92" s="298">
        <f ca="1">INDIRECT(ADDRESS((6*3)+(46*4)-(85*2),8,1))+$H$85-INDIRECT(ADDRESS((6*2)+(46*3)-(85),8,1))</f>
        <v>695.3848447860065</v>
      </c>
      <c r="S92" s="296"/>
    </row>
    <row r="93" spans="1:19" ht="12.75">
      <c r="A93" s="83">
        <f>(A11*'Construct &amp; Scrutinize 79 tones'!B188)</f>
        <v>547.146119926407</v>
      </c>
      <c r="B93" s="90" t="s">
        <v>372</v>
      </c>
      <c r="C93" s="32">
        <f t="shared" si="24"/>
        <v>0</v>
      </c>
      <c r="D93" s="88"/>
      <c r="E93" s="398" t="s">
        <v>362</v>
      </c>
      <c r="F93" s="398"/>
      <c r="G93" s="398"/>
      <c r="H93" s="298">
        <f ca="1">INDIRECT(ADDRESS((6*3)+(46*5)-(85*2),8,1))-INDIRECT(ADDRESS((6*3)+(46*4)-(85*2),8,1))</f>
        <v>700.6379722365851</v>
      </c>
      <c r="S93" s="296"/>
    </row>
    <row r="94" spans="1:19" ht="12.75">
      <c r="A94" s="83">
        <f>(A12*'Construct &amp; Scrutinize 79 tones'!B188)</f>
        <v>551.9367979164049</v>
      </c>
      <c r="B94" s="90" t="s">
        <v>373</v>
      </c>
      <c r="C94" s="32">
        <f t="shared" si="24"/>
        <v>0</v>
      </c>
      <c r="D94" s="88"/>
      <c r="E94" s="397"/>
      <c r="F94" s="397"/>
      <c r="G94" s="397"/>
      <c r="H94" s="298">
        <f ca="1">INDIRECT(ADDRESS((6*4)+(46*6)-(85*3),8,1))+H85-INDIRECT(ADDRESS((6*3)+(46*5)-(85*2),8,1))</f>
        <v>695.7955847908361</v>
      </c>
      <c r="S94" s="296"/>
    </row>
    <row r="95" spans="1:19" ht="12.75">
      <c r="A95" s="83">
        <f>(A13*'Construct &amp; Scrutinize 79 tones'!B188)</f>
        <v>556.7694219145641</v>
      </c>
      <c r="B95" s="90" t="s">
        <v>374</v>
      </c>
      <c r="C95" s="32">
        <f t="shared" si="24"/>
        <v>2.5011104298755527E-12</v>
      </c>
      <c r="D95" s="88"/>
      <c r="E95" s="398" t="s">
        <v>447</v>
      </c>
      <c r="F95" s="398"/>
      <c r="G95" s="398"/>
      <c r="H95" s="298">
        <f ca="1">INDIRECT(ADDRESS((6*5)+(46*7)-(85*4),8,1))+H85-INDIRECT(ADDRESS((6*4)+(46*6)-(85*3),8,1))</f>
        <v>702.3467270915334</v>
      </c>
      <c r="S95" s="296"/>
    </row>
    <row r="96" spans="1:19" ht="12.75">
      <c r="A96" s="83">
        <f>(A14*'Construct &amp; Scrutinize 79 tones'!B188)</f>
        <v>561.6443591898654</v>
      </c>
      <c r="B96" s="90" t="s">
        <v>375</v>
      </c>
      <c r="C96" s="32">
        <f t="shared" si="24"/>
        <v>2.0463630789890885E-12</v>
      </c>
      <c r="D96" s="88"/>
      <c r="E96" s="397"/>
      <c r="F96" s="397"/>
      <c r="G96" s="397"/>
      <c r="H96" s="298">
        <f ca="1">INDIRECT(ADDRESS((6*5)+(46*8)-(85*4),8,1))-INDIRECT(ADDRESS((6*5)+(46*7)-(85*4),8,1))</f>
        <v>700.387563864638</v>
      </c>
      <c r="S96" s="296"/>
    </row>
    <row r="97" spans="1:19" ht="12.75">
      <c r="A97" s="83">
        <f>(A15*'Construct &amp; Scrutinize 79 tones'!B188)</f>
        <v>566.5619802270666</v>
      </c>
      <c r="B97" s="90" t="s">
        <v>376</v>
      </c>
      <c r="C97" s="32">
        <f t="shared" si="24"/>
        <v>2.5011104298755527E-12</v>
      </c>
      <c r="D97" s="88"/>
      <c r="E97" s="398" t="s">
        <v>448</v>
      </c>
      <c r="F97" s="398"/>
      <c r="G97" s="398"/>
      <c r="H97" s="298">
        <f ca="1">INDIRECT(ADDRESS((6*6)+(46*9)-(85*5),8,1))+H85-INDIRECT(ADDRESS((6*5)+(46*8)-(85*4),8,1))</f>
        <v>694.9713929724533</v>
      </c>
      <c r="S97" s="296"/>
    </row>
    <row r="98" spans="1:19" ht="12.75">
      <c r="A98" s="83">
        <f>(A16*'Construct &amp; Scrutinize 79 tones'!B188)</f>
        <v>571.522658754788</v>
      </c>
      <c r="B98" s="90" t="s">
        <v>377</v>
      </c>
      <c r="C98" s="32">
        <f t="shared" si="24"/>
        <v>0</v>
      </c>
      <c r="D98" s="88"/>
      <c r="E98" s="398" t="s">
        <v>449</v>
      </c>
      <c r="F98" s="398"/>
      <c r="G98" s="398"/>
      <c r="H98" s="298">
        <f ca="1">INDIRECT(ADDRESS((6*6)+(46*10)-(85*5),8,1))-INDIRECT(ADDRESS((6*6)+(46*9)-(85*5),8,1))</f>
        <v>701.4884238381551</v>
      </c>
      <c r="S98" s="296"/>
    </row>
    <row r="99" spans="1:19" ht="12.75">
      <c r="A99" s="83">
        <f>(A17*'Construct &amp; Scrutinize 79 tones'!B188)</f>
        <v>576.5267717739102</v>
      </c>
      <c r="B99" s="90" t="s">
        <v>378</v>
      </c>
      <c r="C99" s="32">
        <f t="shared" si="24"/>
        <v>0</v>
      </c>
      <c r="D99" s="88"/>
      <c r="E99" s="397"/>
      <c r="F99" s="397"/>
      <c r="G99" s="397"/>
      <c r="H99" s="298">
        <f ca="1">INDIRECT(ADDRESS((6*7)+(46*11)-(85*6),8,1))+H85-INDIRECT(ADDRESS((6*6)+(46*10)-(85*5),8,1))</f>
        <v>695.4096847548576</v>
      </c>
      <c r="S99" s="296"/>
    </row>
    <row r="100" spans="1:19" ht="12.75">
      <c r="A100" s="83">
        <f>(A18*'Construct &amp; Scrutinize 79 tones'!B188)</f>
        <v>581.574699586235</v>
      </c>
      <c r="B100" s="90" t="s">
        <v>379</v>
      </c>
      <c r="C100" s="32">
        <f t="shared" si="24"/>
        <v>0</v>
      </c>
      <c r="D100" s="88"/>
      <c r="E100" s="398" t="s">
        <v>364</v>
      </c>
      <c r="F100" s="398"/>
      <c r="G100" s="398"/>
      <c r="H100" s="298">
        <f ca="1">INDIRECT(ADDRESS((6*7)+(46*12)-(85*6),8,1))-INDIRECT(ADDRESS((6*7)+(46*11)-(85*6),8,1))</f>
        <v>700.2887504489208</v>
      </c>
      <c r="S100" s="296"/>
    </row>
    <row r="101" spans="1:19" ht="12.75">
      <c r="A101" s="79">
        <f>(A19*'Construct &amp; Scrutinize 79 tones'!B188)</f>
        <v>586.6668258234138</v>
      </c>
      <c r="B101" s="91" t="s">
        <v>380</v>
      </c>
      <c r="C101" s="104">
        <f t="shared" si="24"/>
        <v>0</v>
      </c>
      <c r="D101" s="88"/>
      <c r="E101" s="397"/>
      <c r="F101" s="397"/>
      <c r="G101" s="397"/>
      <c r="H101" s="298">
        <f ca="1">INDIRECT(ADDRESS((6*8)+(46*13)-(85*7),8,1))+$H$85-INDIRECT(ADDRESS((6*7)+(46*12)-(85*6),8,1))</f>
        <v>695.552809610976</v>
      </c>
      <c r="S101" s="296"/>
    </row>
    <row r="102" spans="1:19" ht="12.75">
      <c r="A102" s="83">
        <f>(A20*'Construct &amp; Scrutinize 79 tones'!B188)</f>
        <v>591.8035374760861</v>
      </c>
      <c r="B102" s="90" t="s">
        <v>381</v>
      </c>
      <c r="C102" s="32">
        <f t="shared" si="24"/>
        <v>2.7284841053187847E-12</v>
      </c>
      <c r="D102" s="88"/>
      <c r="E102" s="398" t="s">
        <v>365</v>
      </c>
      <c r="F102" s="398"/>
      <c r="G102" s="398"/>
      <c r="H102" s="298">
        <f ca="1">INDIRECT(ADDRESS((6*9)+(46*14)-(85*8),8,1))+$H$85-INDIRECT(ADDRESS((6*8)+(46*13)-(85*7),8,1))</f>
        <v>701.9550008653872</v>
      </c>
      <c r="S102" s="296"/>
    </row>
    <row r="103" spans="1:19" ht="12.75">
      <c r="A103" s="83">
        <f>(A21*'Construct &amp; Scrutinize 79 tones'!B188)</f>
        <v>596.9852249232464</v>
      </c>
      <c r="B103" s="90" t="s">
        <v>382</v>
      </c>
      <c r="C103" s="32">
        <f t="shared" si="24"/>
        <v>2.2737367544323206E-12</v>
      </c>
      <c r="D103" s="88"/>
      <c r="E103" s="397"/>
      <c r="F103" s="397"/>
      <c r="G103" s="397"/>
      <c r="H103" s="298">
        <f ca="1">INDIRECT(ADDRESS((6*9)+(46*15)-(85*8),8,1))-INDIRECT(ADDRESS((6*9)+(46*14)-(85*8),8,1))</f>
        <v>700.9631738264769</v>
      </c>
      <c r="S103" s="296"/>
    </row>
    <row r="104" spans="1:19" ht="12.75">
      <c r="A104" s="83">
        <f>(A22*'Construct &amp; Scrutinize 79 tones'!B188)</f>
        <v>602.2122819620046</v>
      </c>
      <c r="B104" s="90" t="s">
        <v>383</v>
      </c>
      <c r="C104" s="32">
        <f t="shared" si="24"/>
        <v>0</v>
      </c>
      <c r="D104" s="88"/>
      <c r="E104" s="398" t="s">
        <v>367</v>
      </c>
      <c r="F104" s="398"/>
      <c r="G104" s="398"/>
      <c r="H104" s="298">
        <f ca="1">INDIRECT(ADDRESS((6*10)+(46*16)-(85*9),8,1))+$H$85-INDIRECT(ADDRESS((6*9)+(46*15)-(85*8),8,1))</f>
        <v>695.6601997608757</v>
      </c>
      <c r="S104" s="296"/>
    </row>
    <row r="105" spans="1:8" ht="12.75">
      <c r="A105" s="83">
        <f>(A23*'Construct &amp; Scrutinize 79 tones'!B188)</f>
        <v>607.4851058374505</v>
      </c>
      <c r="B105" s="90" t="s">
        <v>384</v>
      </c>
      <c r="C105" s="32">
        <f aca="true" t="shared" si="25" ref="C105:C121">(A151*2)-(A105*3)</f>
        <v>0</v>
      </c>
      <c r="D105" s="88"/>
      <c r="E105" s="397"/>
      <c r="F105" s="397"/>
      <c r="G105" s="397"/>
      <c r="H105" s="298">
        <f ca="1">INDIRECT(ADDRESS((6*10)+(46*17)-(85*9),8,1))-INDIRECT(ADDRESS((6*10)+(46*16)-(85*9),8,1))</f>
        <v>701.0696855563646</v>
      </c>
    </row>
    <row r="106" spans="1:8" ht="12.75">
      <c r="A106" s="83">
        <f>(A24*'Construct &amp; Scrutinize 79 tones'!B188)</f>
        <v>612.804097272831</v>
      </c>
      <c r="B106" s="90" t="s">
        <v>385</v>
      </c>
      <c r="C106" s="32">
        <f t="shared" si="25"/>
        <v>0</v>
      </c>
      <c r="D106" s="88"/>
      <c r="E106" s="398" t="s">
        <v>450</v>
      </c>
      <c r="F106" s="398"/>
      <c r="G106" s="398"/>
      <c r="H106" s="298">
        <f ca="1">INDIRECT(ADDRESS((6*11)+(46*18)-(85*10),8,1))+$H$85-INDIRECT(ADDRESS((6*10)+(46*17)-(85*9),8,1))</f>
        <v>694.5597138871979</v>
      </c>
    </row>
    <row r="107" spans="1:8" ht="12.75">
      <c r="A107" s="83">
        <f>(A25*'Construct &amp; Scrutinize 79 tones'!B188)</f>
        <v>618.1696605000367</v>
      </c>
      <c r="B107" s="90" t="s">
        <v>386</v>
      </c>
      <c r="C107" s="32">
        <f t="shared" si="25"/>
        <v>0</v>
      </c>
      <c r="D107" s="88"/>
      <c r="E107" s="398" t="s">
        <v>452</v>
      </c>
      <c r="F107" s="398"/>
      <c r="G107" s="398"/>
      <c r="H107" s="298">
        <f ca="1">INDIRECT(ADDRESS((6*12)+(46*19)-(85*11),8,1))+$H$85-INDIRECT(ADDRESS((6*11)+(46*18)-(85*10),8,1))</f>
        <v>701.9550008653872</v>
      </c>
    </row>
    <row r="108" spans="1:8" ht="12.75">
      <c r="A108" s="83">
        <f>(A26*'Construct &amp; Scrutinize 79 tones'!B188)</f>
        <v>623.5822032903409</v>
      </c>
      <c r="B108" s="90" t="s">
        <v>446</v>
      </c>
      <c r="C108" s="32">
        <f t="shared" si="25"/>
        <v>2.5011104298755527E-12</v>
      </c>
      <c r="D108" s="88"/>
      <c r="E108" s="398" t="s">
        <v>451</v>
      </c>
      <c r="F108" s="398"/>
      <c r="G108" s="398"/>
      <c r="H108" s="298">
        <f ca="1">INDIRECT(ADDRESS((6*12)+(46*20)-(85*11),8,1))-INDIRECT(ADDRESS((6*12)+(46*19)-(85*11),8,1))</f>
        <v>701.427908747123</v>
      </c>
    </row>
    <row r="109" spans="1:8" ht="12.75">
      <c r="A109" s="83">
        <f>(A27*'Construct &amp; Scrutinize 79 tones'!B188)</f>
        <v>629.0421369853007</v>
      </c>
      <c r="B109" s="90" t="s">
        <v>387</v>
      </c>
      <c r="C109" s="32">
        <f t="shared" si="25"/>
        <v>2.5011104298755527E-12</v>
      </c>
      <c r="D109" s="88"/>
      <c r="E109" s="397"/>
      <c r="F109" s="397"/>
      <c r="G109" s="397"/>
      <c r="H109" s="298">
        <f ca="1">INDIRECT(ADDRESS((6*13)+(46*21)-(85*12),8,1))+$H$85-INDIRECT(ADDRESS((6*12)+(46*20)-(85*11),8,1))</f>
        <v>694.205822295572</v>
      </c>
    </row>
    <row r="110" spans="1:8" ht="12.75">
      <c r="A110" s="83">
        <f>(A28*'Construct &amp; Scrutinize 79 tones'!B188)</f>
        <v>634.5498765281466</v>
      </c>
      <c r="B110" s="90" t="s">
        <v>388</v>
      </c>
      <c r="C110" s="32">
        <f t="shared" si="25"/>
        <v>2.2737367544323206E-12</v>
      </c>
      <c r="D110" s="88"/>
      <c r="E110" s="397"/>
      <c r="F110" s="397"/>
      <c r="G110" s="397"/>
      <c r="H110" s="298">
        <f ca="1">INDIRECT(ADDRESS((6*13)+(46*22)-(85*12),8,1))-INDIRECT(ADDRESS((6*13)+(46*21)-(85*12),8,1))</f>
        <v>701.9550008653875</v>
      </c>
    </row>
    <row r="111" spans="1:8" ht="12.75">
      <c r="A111" s="83">
        <f>(A29*'Construct &amp; Scrutinize 79 tones'!B188)</f>
        <v>640.1058404952281</v>
      </c>
      <c r="B111" s="90" t="s">
        <v>389</v>
      </c>
      <c r="C111" s="32">
        <f t="shared" si="25"/>
        <v>0</v>
      </c>
      <c r="D111" s="88"/>
      <c r="E111" s="88"/>
      <c r="F111" s="94">
        <f>(A114/A65)</f>
        <v>1.4933348178918466</v>
      </c>
      <c r="H111" s="298">
        <f ca="1">INDIRECT(ADDRESS((6*14)+(46*23)-(85*13),8,1))+$H$85-INDIRECT(ADDRESS((6*13)+(46*22)-(85*12),8,1))</f>
        <v>695.3526292873951</v>
      </c>
    </row>
    <row r="112" spans="1:8" ht="12.75">
      <c r="A112" s="83">
        <f>(A30*'Construct &amp; Scrutinize 79 tones'!B188)</f>
        <v>645.7104511278433</v>
      </c>
      <c r="B112" s="90" t="s">
        <v>390</v>
      </c>
      <c r="C112" s="32">
        <f t="shared" si="25"/>
        <v>-1.8189894035458565E-12</v>
      </c>
      <c r="D112" s="88"/>
      <c r="E112" s="397"/>
      <c r="F112" s="397"/>
      <c r="G112" s="397"/>
      <c r="H112" s="298">
        <f ca="1">INDIRECT(ADDRESS((6*14)+(46*24)-(85*13),8,1))-INDIRECT(ADDRESS((6*14)+(46*23)-(85*13),8,1))</f>
        <v>700.2741909769848</v>
      </c>
    </row>
    <row r="113" spans="1:8" ht="12.75">
      <c r="A113" s="83">
        <f>(A31*'Construct &amp; Scrutinize 79 tones'!B188)</f>
        <v>651.3641343643201</v>
      </c>
      <c r="B113" s="90" t="s">
        <v>391</v>
      </c>
      <c r="C113" s="32">
        <f t="shared" si="25"/>
        <v>0</v>
      </c>
      <c r="D113" s="88"/>
      <c r="E113" s="397"/>
      <c r="F113" s="397"/>
      <c r="G113" s="397"/>
      <c r="H113" s="298">
        <f ca="1">INDIRECT(ADDRESS((6*15)+(46*25)-(85*14),8,1))+$H$85-INDIRECT(ADDRESS((6*14)+(46*24)-(85*13),8,1))</f>
        <v>696.0592820351471</v>
      </c>
    </row>
    <row r="114" spans="1:8" ht="12.75">
      <c r="A114" s="79">
        <f>(A32*'Construct &amp; Scrutinize 79 tones'!B188)</f>
        <v>657.0673198724126</v>
      </c>
      <c r="B114" s="91" t="s">
        <v>392</v>
      </c>
      <c r="C114" s="104">
        <f t="shared" si="25"/>
        <v>0</v>
      </c>
      <c r="D114" s="88"/>
      <c r="E114" s="398" t="s">
        <v>453</v>
      </c>
      <c r="F114" s="398"/>
      <c r="G114" s="398"/>
      <c r="H114" s="298">
        <f ca="1">INDIRECT(ADDRESS((6*16)+(46*26)-(85*15),8,1))+$H$85-INDIRECT(ADDRESS((6*15)+(46*25)-(85*14),8,1))</f>
        <v>701.5799907807266</v>
      </c>
    </row>
    <row r="115" spans="1:8" ht="12.75">
      <c r="A115" s="83">
        <f>(A33*'Construct &amp; Scrutinize 79 tones'!B188)</f>
        <v>662.8204410819536</v>
      </c>
      <c r="B115" s="90" t="s">
        <v>393</v>
      </c>
      <c r="C115" s="32">
        <f t="shared" si="25"/>
        <v>2.2737367544323206E-12</v>
      </c>
      <c r="D115" s="88"/>
      <c r="E115" s="398" t="s">
        <v>454</v>
      </c>
      <c r="F115" s="398"/>
      <c r="G115" s="398"/>
      <c r="H115" s="298">
        <f ca="1">INDIRECT(ADDRESS((6*16)+(46*27)-(85*15),8,1))-INDIRECT(ADDRESS((6*16)+(46*26)-(85*15),8,1))</f>
        <v>700.9545766543255</v>
      </c>
    </row>
    <row r="116" spans="1:8" ht="12.75">
      <c r="A116" s="83">
        <f>(A34*'Construct &amp; Scrutinize 79 tones'!B188)</f>
        <v>668.6239352177322</v>
      </c>
      <c r="B116" s="90" t="s">
        <v>394</v>
      </c>
      <c r="C116" s="32">
        <f t="shared" si="25"/>
        <v>2.7284841053187847E-12</v>
      </c>
      <c r="D116" s="88"/>
      <c r="E116" s="397"/>
      <c r="F116" s="397"/>
      <c r="G116" s="397"/>
      <c r="H116" s="298">
        <f ca="1">INDIRECT(ADDRESS((6*17)+(46*28)-(85*16),8,1))+$H$85-INDIRECT(ADDRESS((6*16)+(46*27)-(85*15),8,1))</f>
        <v>694.6008386038058</v>
      </c>
    </row>
    <row r="117" spans="1:8" ht="12.75">
      <c r="A117" s="83">
        <f>(A35*'Construct &amp; Scrutinize 79 tones'!B188)</f>
        <v>674.4782433328293</v>
      </c>
      <c r="B117" s="90" t="s">
        <v>395</v>
      </c>
      <c r="C117" s="32">
        <f t="shared" si="25"/>
        <v>2.7284841053187847E-12</v>
      </c>
      <c r="D117" s="88"/>
      <c r="E117" s="398" t="s">
        <v>367</v>
      </c>
      <c r="F117" s="398"/>
      <c r="G117" s="398"/>
      <c r="H117" s="298">
        <f ca="1">INDIRECT(ADDRESS((6*17)+(46*29)-(85*16),8,1))-INDIRECT(ADDRESS((6*17)+(46*28)-(85*16),8,1))</f>
        <v>701.9550008653871</v>
      </c>
    </row>
    <row r="118" spans="1:8" ht="12.75">
      <c r="A118" s="83">
        <f>(A36*'Construct &amp; Scrutinize 79 tones'!B188)</f>
        <v>680.3838103420712</v>
      </c>
      <c r="B118" s="90" t="s">
        <v>396</v>
      </c>
      <c r="C118" s="32">
        <f t="shared" si="25"/>
        <v>0</v>
      </c>
      <c r="D118" s="88"/>
      <c r="E118" s="397"/>
      <c r="F118" s="397"/>
      <c r="G118" s="397"/>
      <c r="H118" s="298">
        <f ca="1">INDIRECT(ADDRESS((6*18)+(46*30)-(85*17),8,1))+$H$85-INDIRECT(ADDRESS((6*17)+(46*29)-(85*16),8,1))</f>
        <v>694.1956213399724</v>
      </c>
    </row>
    <row r="119" spans="1:8" ht="12.75">
      <c r="A119" s="83">
        <f>(A37*'Construct &amp; Scrutinize 79 tones'!B188)</f>
        <v>686.3410850558149</v>
      </c>
      <c r="B119" s="90" t="s">
        <v>397</v>
      </c>
      <c r="C119" s="32">
        <f t="shared" si="25"/>
        <v>0</v>
      </c>
      <c r="D119" s="88"/>
      <c r="E119" s="398" t="s">
        <v>456</v>
      </c>
      <c r="F119" s="398"/>
      <c r="G119" s="398"/>
      <c r="H119" s="298">
        <f ca="1">INDIRECT(ADDRESS((6*19)+(46*31)-(85*18),8,1))+$H$85-INDIRECT(ADDRESS((6*18)+(46*30)-(85*17),8,1))</f>
        <v>701.5561449601403</v>
      </c>
    </row>
    <row r="120" spans="1:8" ht="12.75">
      <c r="A120" s="83">
        <f>(A38*'Construct &amp; Scrutinize 79 tones'!B188)</f>
        <v>692.3505202141054</v>
      </c>
      <c r="B120" s="90" t="s">
        <v>398</v>
      </c>
      <c r="C120" s="32">
        <f t="shared" si="25"/>
        <v>0</v>
      </c>
      <c r="D120" s="88"/>
      <c r="E120" s="398" t="s">
        <v>455</v>
      </c>
      <c r="F120" s="398"/>
      <c r="G120" s="398"/>
      <c r="H120" s="298">
        <f ca="1">INDIRECT(ADDRESS((6*19)+(46*32)-(85*18),8,1))-INDIRECT(ADDRESS((6*19)+(46*31)-(85*18),8,1))</f>
        <v>702.4867883212864</v>
      </c>
    </row>
    <row r="121" spans="1:8" ht="12.75">
      <c r="A121" s="79">
        <f>(A39*'Construct &amp; Scrutinize 79 tones'!B188)</f>
        <v>698.4125725211023</v>
      </c>
      <c r="B121" s="91" t="s">
        <v>399</v>
      </c>
      <c r="C121" s="104">
        <f t="shared" si="25"/>
        <v>0</v>
      </c>
      <c r="D121" s="88"/>
      <c r="E121" s="397"/>
      <c r="F121" s="397"/>
      <c r="G121" s="397"/>
      <c r="H121" s="298">
        <f ca="1">INDIRECT(ADDRESS((6*20)+(46*33)-(85*19),8,1))+$H$85-INDIRECT(ADDRESS((6*19)+(46*32)-(85*18),8,1))</f>
        <v>694.8510350128062</v>
      </c>
    </row>
    <row r="122" spans="1:8" ht="12.75">
      <c r="A122" s="83">
        <f>(A40*'Construct &amp; Scrutinize 79 tones'!B188)</f>
        <v>704.5277026796774</v>
      </c>
      <c r="B122" s="90" t="s">
        <v>407</v>
      </c>
      <c r="C122" s="32"/>
      <c r="D122" s="88"/>
      <c r="E122" s="397"/>
      <c r="F122" s="397"/>
      <c r="G122" s="397"/>
      <c r="H122" s="298">
        <f ca="1">INDIRECT(ADDRESS((6*20)+(46*34)-(85*19),8,1))-INDIRECT(ADDRESS((6*20)+(46*33)-(85*19),8,1))</f>
        <v>701.9550008653875</v>
      </c>
    </row>
    <row r="123" spans="1:8" ht="12.75">
      <c r="A123" s="83">
        <f>(A41*'Construct &amp; Scrutinize 79 tones'!B188)</f>
        <v>710.6963754265844</v>
      </c>
      <c r="B123" s="90" t="s">
        <v>406</v>
      </c>
      <c r="C123" s="88"/>
      <c r="D123" s="88"/>
      <c r="E123" s="398" t="s">
        <v>470</v>
      </c>
      <c r="F123" s="398"/>
      <c r="G123" s="398"/>
      <c r="H123" s="298">
        <f ca="1">INDIRECT(ADDRESS((6*21)+(46*35)-(85*20),8,1))+$H$85-INDIRECT(ADDRESS((6*20)+(46*34)-(85*19),8,1))</f>
        <v>694.3451686167955</v>
      </c>
    </row>
    <row r="124" spans="1:8" ht="12.75">
      <c r="A124" s="83">
        <f>(A42*'Construct &amp; Scrutinize 79 tones'!B188)</f>
        <v>716.919059567678</v>
      </c>
      <c r="B124" s="90" t="s">
        <v>405</v>
      </c>
      <c r="C124" s="88"/>
      <c r="D124" s="88"/>
      <c r="E124" s="397"/>
      <c r="F124" s="397"/>
      <c r="G124" s="397"/>
      <c r="H124" s="298">
        <f ca="1">INDIRECT(ADDRESS((6*21)+(46*36)-(85*20),8,1))-INDIRECT(ADDRESS((6*21)+(46*35)-(85*20),8,1))</f>
        <v>700.2593748247776</v>
      </c>
    </row>
    <row r="125" spans="1:8" ht="12.75">
      <c r="A125" s="83">
        <f>(A43*'Construct &amp; Scrutinize 79 tones'!B188)</f>
        <v>723.1962280135539</v>
      </c>
      <c r="B125" s="90" t="s">
        <v>404</v>
      </c>
      <c r="C125" s="88"/>
      <c r="D125" s="88"/>
      <c r="E125" s="391" t="s">
        <v>462</v>
      </c>
      <c r="F125" s="391"/>
      <c r="G125" s="391"/>
      <c r="H125" s="298">
        <f ca="1">INDIRECT(ADDRESS((6*22)+(46*37)-(85*21),8,1))+$H$85-INDIRECT(ADDRESS((6*21)+(46*36)-(85*20),8,1))</f>
        <v>695.4396723658701</v>
      </c>
    </row>
    <row r="126" spans="1:8" ht="12.75">
      <c r="A126" s="83">
        <f>(A44*'Construct &amp; Scrutinize 79 tones'!B188)</f>
        <v>729.5283578154849</v>
      </c>
      <c r="B126" s="90" t="s">
        <v>403</v>
      </c>
      <c r="C126" s="88"/>
      <c r="D126" s="88"/>
      <c r="E126" s="391" t="s">
        <v>465</v>
      </c>
      <c r="F126" s="391"/>
      <c r="G126" s="391"/>
      <c r="H126" s="298">
        <f ca="1">INDIRECT(ADDRESS((6*23)+(46*38)-(85*22),8,1))+$H$85-INDIRECT(ADDRESS((6*22)+(46*37)-(85*21),8,1))</f>
        <v>702.3333713289339</v>
      </c>
    </row>
    <row r="127" spans="1:8" ht="12.75">
      <c r="A127" s="83">
        <f>(A45*'Construct &amp; Scrutinize 79 tones'!B188)</f>
        <v>735.9159302016984</v>
      </c>
      <c r="B127" s="90" t="s">
        <v>402</v>
      </c>
      <c r="C127" s="88"/>
      <c r="D127" s="88"/>
      <c r="E127" s="391" t="s">
        <v>471</v>
      </c>
      <c r="F127" s="391"/>
      <c r="G127" s="391"/>
      <c r="H127" s="298">
        <f ca="1">INDIRECT(ADDRESS((6*23)+(46*39)-(85*22),8,1))-INDIRECT(ADDRESS((6*23)+(46*38)-(85*22),8,1))</f>
        <v>700.9458291381425</v>
      </c>
    </row>
    <row r="128" spans="1:8" ht="12.75">
      <c r="A128" s="83">
        <f>(A46*'Construct &amp; Scrutinize 79 tones'!B188)</f>
        <v>742.3594306139644</v>
      </c>
      <c r="B128" s="90" t="s">
        <v>401</v>
      </c>
      <c r="C128" s="88"/>
      <c r="D128" s="88"/>
      <c r="E128" s="397"/>
      <c r="F128" s="397"/>
      <c r="G128" s="397"/>
      <c r="H128" s="298">
        <f ca="1">INDIRECT(ADDRESS((6*24)+(46*40)-(85*23),8,1))+$H$85-INDIRECT(ADDRESS((6*23)+(46*39)-(85*22),8,1))</f>
        <v>694.874279137766</v>
      </c>
    </row>
    <row r="129" spans="1:8" ht="12.75">
      <c r="A129" s="83">
        <f>(A47*'Construct &amp; Scrutinize 79 tones'!B188)</f>
        <v>748.8593487443943</v>
      </c>
      <c r="B129" s="90" t="s">
        <v>400</v>
      </c>
      <c r="C129" s="88"/>
      <c r="D129" s="88"/>
      <c r="E129" s="397"/>
      <c r="F129" s="397"/>
      <c r="G129" s="397"/>
      <c r="H129" s="298">
        <f ca="1">INDIRECT(ADDRESS((6*24)+(46*41)-(85*23),8,1))-INDIRECT(ADDRESS((6*24)+(46*40)-(85*23),8,1))</f>
        <v>701.504451988657</v>
      </c>
    </row>
    <row r="130" spans="1:8" ht="12.75">
      <c r="A130" s="83">
        <f>(A48*'Construct &amp; Scrutinize 79 tones'!B188)</f>
        <v>755.4161785727971</v>
      </c>
      <c r="B130" s="90" t="s">
        <v>408</v>
      </c>
      <c r="C130" s="88"/>
      <c r="D130" s="88"/>
      <c r="E130" s="88"/>
      <c r="F130" s="102">
        <f>(((440*3)+D65)/2)/F111</f>
        <v>440</v>
      </c>
      <c r="H130" s="298">
        <f ca="1">INDIRECT(ADDRESS((6*25)+(46*42)-(85*24),8,1))+$H$85-INDIRECT(ADDRESS((6*24)+(46*41)-(85*23),8,1))</f>
        <v>695.0318614770274</v>
      </c>
    </row>
    <row r="131" spans="1:8" ht="12.75">
      <c r="A131" s="83">
        <f>(A49*'Construct &amp; Scrutinize 79 tones'!B188)</f>
        <v>762.0304184041381</v>
      </c>
      <c r="B131" s="90" t="s">
        <v>409</v>
      </c>
      <c r="C131" s="88"/>
      <c r="D131" s="88"/>
      <c r="E131" s="397"/>
      <c r="F131" s="397"/>
      <c r="G131" s="397"/>
      <c r="H131" s="298">
        <f ca="1">INDIRECT(ADDRESS((6*26)+(46*43)-(85*25),8,1))+$H$85-INDIRECT(ADDRESS((6*25)+(46*42)-(85*24),8,1))</f>
        <v>701.5528091922888</v>
      </c>
    </row>
    <row r="132" spans="1:8" ht="12.75">
      <c r="A132" s="83">
        <f>(A50*'Construct &amp; Scrutinize 79 tones'!B188)</f>
        <v>768.7025709063863</v>
      </c>
      <c r="B132" s="90" t="s">
        <v>410</v>
      </c>
      <c r="C132" s="88"/>
      <c r="D132" s="88"/>
      <c r="E132" s="397"/>
      <c r="F132" s="397"/>
      <c r="G132" s="397"/>
      <c r="H132" s="298">
        <f ca="1">INDIRECT(ADDRESS((6*26)+(46*44)-(85*25),8,1))-INDIRECT(ADDRESS((6*26)+(46*43)-(85*25),8,1))</f>
        <v>701.9550008653873</v>
      </c>
    </row>
    <row r="133" spans="1:8" ht="12.75">
      <c r="A133" s="83">
        <f>(A51*'Construct &amp; Scrutinize 79 tones'!B188)</f>
        <v>775.433143148755</v>
      </c>
      <c r="B133" s="90" t="s">
        <v>411</v>
      </c>
      <c r="C133" s="88"/>
      <c r="D133" s="88"/>
      <c r="E133" s="391" t="s">
        <v>463</v>
      </c>
      <c r="F133" s="391"/>
      <c r="G133" s="391"/>
      <c r="H133" s="298">
        <f ca="1">INDIRECT(ADDRESS((6*27)+(46*45)-(85*26),8,1))+$H$85-INDIRECT(ADDRESS((6*26)+(46*44)-(85*25),8,1))</f>
        <v>694.0710814074522</v>
      </c>
    </row>
    <row r="134" spans="1:8" ht="12.75">
      <c r="A134" s="79">
        <f>(A52*'Construct &amp; Scrutinize 79 tones'!B188)</f>
        <v>785.7139309299796</v>
      </c>
      <c r="B134" s="91" t="s">
        <v>412</v>
      </c>
      <c r="C134" s="88"/>
      <c r="D134" s="88"/>
      <c r="E134" s="391" t="s">
        <v>464</v>
      </c>
      <c r="F134" s="391"/>
      <c r="G134" s="391"/>
      <c r="H134" s="298">
        <f ca="1">INDIRECT(ADDRESS((6*27)+(46*46)-(85*26),8,1))-INDIRECT(ADDRESS((6*27)+(46*45)-(85*26),8,1))</f>
        <v>702.4338375574364</v>
      </c>
    </row>
    <row r="135" spans="1:8" ht="12.75">
      <c r="A135" s="83">
        <f>(A53*'Construct &amp; Scrutinize 79 tones'!B188)</f>
        <v>792.5934504920566</v>
      </c>
      <c r="B135" s="90" t="s">
        <v>413</v>
      </c>
      <c r="C135" s="88"/>
      <c r="D135" s="88"/>
      <c r="E135" s="397"/>
      <c r="F135" s="397"/>
      <c r="G135" s="397"/>
      <c r="H135" s="298">
        <f ca="1">INDIRECT(ADDRESS((6*28)+(46*47)-(85*27),8,1))+$H$85-INDIRECT(ADDRESS((6*27)+(46*46)-(85*26),8,1))</f>
        <v>694.2776754276066</v>
      </c>
    </row>
    <row r="136" spans="1:8" ht="12.75">
      <c r="A136" s="83">
        <f>(A54*'Construct &amp; Scrutinize 79 tones'!B188)</f>
        <v>799.5332054496417</v>
      </c>
      <c r="B136" s="90" t="s">
        <v>414</v>
      </c>
      <c r="C136" s="88"/>
      <c r="D136" s="88"/>
      <c r="E136" s="397"/>
      <c r="F136" s="397"/>
      <c r="G136" s="397"/>
      <c r="H136" s="298">
        <f ca="1">INDIRECT(ADDRESS((6*28)+(46*48)-(85*27),8,1))-INDIRECT(ADDRESS((6*28)+(46*47)-(85*27),8,1))</f>
        <v>701.0998593073405</v>
      </c>
    </row>
    <row r="137" spans="1:8" ht="12.75">
      <c r="A137" s="83">
        <f>(A55*'Construct &amp; Scrutinize 79 tones'!B188)</f>
        <v>806.5337232091974</v>
      </c>
      <c r="B137" s="90" t="s">
        <v>416</v>
      </c>
      <c r="C137" s="88"/>
      <c r="D137" s="88"/>
      <c r="E137" s="397"/>
      <c r="F137" s="397"/>
      <c r="G137" s="397"/>
      <c r="H137" s="298">
        <f ca="1">INDIRECT(ADDRESS((6*29)+(46*49)-(85*28),8,1))+$H$85-INDIRECT(ADDRESS((6*28)+(46*48)-(85*27),8,1))</f>
        <v>695.0986194321149</v>
      </c>
    </row>
    <row r="138" spans="1:8" ht="12.75">
      <c r="A138" s="83">
        <f>(A56*'Construct &amp; Scrutinize 79 tones'!B188)</f>
        <v>813.595535795011</v>
      </c>
      <c r="B138" s="90" t="s">
        <v>415</v>
      </c>
      <c r="C138" s="88"/>
      <c r="D138" s="88"/>
      <c r="E138" s="397"/>
      <c r="F138" s="397"/>
      <c r="G138" s="397"/>
      <c r="H138" s="298">
        <f ca="1">INDIRECT(ADDRESS((6*30)+(46*50)-(85*29),8,1))+$H$85-INDIRECT(ADDRESS((6*29)+(46*49)-(85*28),8,1))</f>
        <v>701.9550008653872</v>
      </c>
    </row>
    <row r="139" spans="1:8" ht="12.75">
      <c r="A139" s="83">
        <f>(A57*'Construct &amp; Scrutinize 79 tones'!B188)</f>
        <v>820.7191798896109</v>
      </c>
      <c r="B139" s="90" t="s">
        <v>418</v>
      </c>
      <c r="C139" s="88"/>
      <c r="D139" s="88"/>
      <c r="E139" s="397"/>
      <c r="F139" s="397"/>
      <c r="G139" s="397"/>
      <c r="H139" s="298">
        <f ca="1">INDIRECT(ADDRESS((6*30)+(46*51)-(85*29),8,1))-INDIRECT(ADDRESS((6*30)+(46*50)-(85*29),8,1))</f>
        <v>700.9369272994024</v>
      </c>
    </row>
    <row r="140" spans="1:8" ht="12.75">
      <c r="A140" s="83">
        <f>(A58*'Construct &amp; Scrutinize 79 tones'!B188)</f>
        <v>827.9051968746078</v>
      </c>
      <c r="B140" s="90" t="s">
        <v>417</v>
      </c>
      <c r="C140" s="88"/>
      <c r="D140" s="88"/>
      <c r="E140" s="397"/>
      <c r="F140" s="397"/>
      <c r="G140" s="397"/>
      <c r="H140" s="298">
        <f ca="1">INDIRECT(ADDRESS((6*31)+(46*52)-(85*30),8,1))+$H$85-INDIRECT(ADDRESS((6*30)+(46*51)-(85*29),8,1))</f>
        <v>695.152500761357</v>
      </c>
    </row>
    <row r="141" spans="1:8" ht="12.75">
      <c r="A141" s="83">
        <f>(A59*'Construct &amp; Scrutinize 79 tones'!B188)</f>
        <v>835.1541328718473</v>
      </c>
      <c r="B141" s="90" t="s">
        <v>419</v>
      </c>
      <c r="C141" s="88"/>
      <c r="D141" s="88"/>
      <c r="E141" s="397"/>
      <c r="F141" s="397"/>
      <c r="G141" s="397"/>
      <c r="H141" s="298">
        <f ca="1">INDIRECT(ADDRESS((6*31)+(46*53)-(85*30),8,1))-INDIRECT(ADDRESS((6*31)+(46*52)-(85*30),8,1))</f>
        <v>701.0459779780983</v>
      </c>
    </row>
    <row r="142" spans="1:8" ht="12.75">
      <c r="A142" s="83">
        <f>(A60*'Construct &amp; Scrutinize 79 tones'!B188)</f>
        <v>842.4665387847991</v>
      </c>
      <c r="B142" s="90" t="s">
        <v>420</v>
      </c>
      <c r="C142" s="88"/>
      <c r="D142" s="88"/>
      <c r="E142" s="397"/>
      <c r="F142" s="397"/>
      <c r="G142" s="397"/>
      <c r="H142" s="298">
        <f ca="1">INDIRECT(ADDRESS((6*32)+(46*54)-(85*31),8,1))+$H$85-INDIRECT(ADDRESS((6*31)+(46*53)-(85*30),8,1))</f>
        <v>694.6655835737661</v>
      </c>
    </row>
    <row r="143" spans="1:8" ht="12.75">
      <c r="A143" s="83">
        <f>(A61*'Construct &amp; Scrutinize 79 tones'!B188)</f>
        <v>849.842970340601</v>
      </c>
      <c r="B143" s="90" t="s">
        <v>421</v>
      </c>
      <c r="C143" s="88"/>
      <c r="D143" s="88"/>
      <c r="E143" s="397"/>
      <c r="F143" s="397"/>
      <c r="G143" s="397"/>
      <c r="H143" s="298">
        <f ca="1">INDIRECT(ADDRESS((6*33)+(46*55)-(85*32),8,1))+$H$85-INDIRECT(ADDRESS((6*32)+(46*54)-(85*31),8,1))</f>
        <v>702.7664534460116</v>
      </c>
    </row>
    <row r="144" spans="1:8" ht="12.75">
      <c r="A144" s="83">
        <f>(A62*'Construct &amp; Scrutinize 79 tones'!B188)</f>
        <v>857.2839881321813</v>
      </c>
      <c r="B144" s="90" t="s">
        <v>422</v>
      </c>
      <c r="C144" s="88"/>
      <c r="D144" s="88"/>
      <c r="E144" s="397"/>
      <c r="F144" s="397"/>
      <c r="G144" s="397"/>
      <c r="H144" s="298">
        <f ca="1">INDIRECT(ADDRESS((6*33)+(46*56)-(85*32),8,1))-INDIRECT(ADDRESS((6*33)+(46*55)-(85*32),8,1))</f>
        <v>701.4140747403596</v>
      </c>
    </row>
    <row r="145" spans="1:8" ht="12.75">
      <c r="A145" s="83">
        <f>(A63*'Construct &amp; Scrutinize 79 tones'!B188)</f>
        <v>864.7901576608646</v>
      </c>
      <c r="B145" s="90" t="s">
        <v>423</v>
      </c>
      <c r="C145" s="88"/>
      <c r="D145" s="88"/>
      <c r="E145" s="397"/>
      <c r="F145" s="397"/>
      <c r="G145" s="397"/>
      <c r="H145" s="298">
        <f ca="1">INDIRECT(ADDRESS((6*34)+(46*57)-(85*33),8,1))+$H$85-INDIRECT(ADDRESS((6*33)+(46*56)-(85*32),8,1))</f>
        <v>694.7264557120635</v>
      </c>
    </row>
    <row r="146" spans="1:8" ht="12.75">
      <c r="A146" s="83">
        <f>(A64*'Construct &amp; Scrutinize 79 tones'!B188)</f>
        <v>872.3620493793527</v>
      </c>
      <c r="B146" s="90" t="s">
        <v>424</v>
      </c>
      <c r="C146" s="88"/>
      <c r="D146" s="88"/>
      <c r="E146" s="397"/>
      <c r="F146" s="397"/>
      <c r="G146" s="397"/>
      <c r="H146" s="298">
        <f ca="1">INDIRECT(ADDRESS((6*34)+(46*58)-(85*33),8,1))-INDIRECT(ADDRESS((6*34)+(46*57)-(85*33),8,1))</f>
        <v>700.5056629414204</v>
      </c>
    </row>
    <row r="147" spans="1:8" ht="12.75">
      <c r="A147" s="79">
        <f>(A65*'Construct &amp; Scrutinize 79 tones'!B188)</f>
        <v>880.0002387351207</v>
      </c>
      <c r="B147" s="91" t="s">
        <v>425</v>
      </c>
      <c r="C147" s="88"/>
      <c r="D147" s="88"/>
      <c r="E147" s="397"/>
      <c r="F147" s="397"/>
      <c r="G147" s="397"/>
      <c r="H147" s="298">
        <f ca="1">INDIRECT(ADDRESS((6*35)+(46*59)-(85*34),8,1))+$H$85-INDIRECT(ADDRESS((6*34)+(46*58)-(85*33),8,1))</f>
        <v>695.1753343865998</v>
      </c>
    </row>
    <row r="148" spans="1:8" ht="12.75">
      <c r="A148" s="83">
        <f>(A66*'Construct &amp; Scrutinize 79 tones'!B188)</f>
        <v>887.7053062141306</v>
      </c>
      <c r="B148" s="90" t="s">
        <v>426</v>
      </c>
      <c r="C148" s="88"/>
      <c r="D148" s="88"/>
      <c r="E148" s="397"/>
      <c r="F148" s="397"/>
      <c r="G148" s="397"/>
      <c r="H148" s="298">
        <f ca="1">INDIRECT(ADDRESS((6*35)+(46*60)-(85*34),8,1))-INDIRECT(ADDRESS((6*35)+(46*59)-(85*34),8,1))</f>
        <v>701.0921879648636</v>
      </c>
    </row>
    <row r="149" spans="1:8" ht="12.75">
      <c r="A149" s="83">
        <f>(A67*'Construct &amp; Scrutinize 79 tones'!B188)</f>
        <v>895.4778373848708</v>
      </c>
      <c r="B149" s="90" t="s">
        <v>427</v>
      </c>
      <c r="C149" s="88"/>
      <c r="D149" s="88"/>
      <c r="E149" s="397"/>
      <c r="F149" s="397"/>
      <c r="G149" s="397"/>
      <c r="H149" s="298">
        <f ca="1">INDIRECT(ADDRESS((6*36)+(46*61)-(85*35),8,1))+$H$85-INDIRECT(ADDRESS((6*35)+(46*60)-(85*34),8,1))</f>
        <v>695.6145328028147</v>
      </c>
    </row>
    <row r="150" spans="1:8" ht="12.75">
      <c r="A150" s="83">
        <f>(A68*'Construct &amp; Scrutinize 79 tones'!B188)</f>
        <v>903.3184229430063</v>
      </c>
      <c r="B150" s="90" t="s">
        <v>428</v>
      </c>
      <c r="C150" s="88"/>
      <c r="D150" s="88"/>
      <c r="E150" s="397"/>
      <c r="F150" s="397"/>
      <c r="G150" s="397"/>
      <c r="H150" s="298">
        <f ca="1">INDIRECT(ADDRESS((6*37)+(46*62)-(85*36),8,1))+$H$85-INDIRECT(ADDRESS((6*36)+(46*61)-(85*35),8,1))</f>
        <v>701.5699827276795</v>
      </c>
    </row>
    <row r="151" spans="1:8" ht="12.75">
      <c r="A151" s="83">
        <f>(A69*'Construct &amp; Scrutinize 79 tones'!B188)</f>
        <v>911.2276587561752</v>
      </c>
      <c r="B151" s="90" t="s">
        <v>429</v>
      </c>
      <c r="C151" s="88"/>
      <c r="D151" s="88"/>
      <c r="E151" s="397"/>
      <c r="F151" s="397"/>
      <c r="G151" s="397"/>
      <c r="H151" s="298">
        <f ca="1">INDIRECT(ADDRESS((6*37)+(46*63)-(85*36),8,1))-INDIRECT(ADDRESS((6*37)+(46*62)-(85*36),8,1))</f>
        <v>700.9278670179539</v>
      </c>
    </row>
    <row r="152" spans="1:8" ht="12.75">
      <c r="A152" s="83">
        <f>(A70*'Construct &amp; Scrutinize 79 tones'!B188)</f>
        <v>919.2061459092467</v>
      </c>
      <c r="B152" s="90" t="s">
        <v>430</v>
      </c>
      <c r="C152" s="88"/>
      <c r="D152" s="88"/>
      <c r="E152" s="397"/>
      <c r="F152" s="397"/>
      <c r="G152" s="397"/>
      <c r="H152" s="298">
        <f ca="1">INDIRECT(ADDRESS((6*38)+(46*64)-(85*37),8,1))+$H$85-INDIRECT(ADDRESS((6*37)+(46*63)-(85*36),8,1))</f>
        <v>695.4356299797547</v>
      </c>
    </row>
    <row r="153" spans="1:8" ht="12.75">
      <c r="A153" s="83">
        <f>(A71*'Construct &amp; Scrutinize 79 tones'!B188)</f>
        <v>927.2544907500553</v>
      </c>
      <c r="B153" s="90" t="s">
        <v>431</v>
      </c>
      <c r="C153" s="88"/>
      <c r="D153" s="88"/>
      <c r="E153" s="397"/>
      <c r="F153" s="397"/>
      <c r="G153" s="397"/>
      <c r="H153" s="298">
        <f ca="1">INDIRECT(ADDRESS((6*38)+(46*65)-(85*37),8,1))-INDIRECT(ADDRESS((6*38)+(46*64)-(85*37),8,1))</f>
        <v>701.4965779713897</v>
      </c>
    </row>
    <row r="154" spans="1:8" ht="12.75">
      <c r="A154" s="83">
        <f>(A72*'Construct &amp; Scrutinize 79 tones'!B188)</f>
        <v>935.3733049355126</v>
      </c>
      <c r="B154" s="90" t="s">
        <v>434</v>
      </c>
      <c r="C154" s="88"/>
      <c r="D154" s="88"/>
      <c r="E154" s="397"/>
      <c r="F154" s="397"/>
      <c r="G154" s="397"/>
      <c r="H154" s="298">
        <f ca="1">INDIRECT(ADDRESS((6*39)+(46*66)-(85*38),8,1))+$H$85-INDIRECT(ADDRESS((6*38)+(46*65)-(85*37),8,1))</f>
        <v>694.6036775091779</v>
      </c>
    </row>
    <row r="155" spans="1:8" ht="12.75">
      <c r="A155" s="83">
        <f>(A73*'Construct &amp; Scrutinize 79 tones'!B188)</f>
        <v>943.5632054779522</v>
      </c>
      <c r="B155" s="90" t="s">
        <v>433</v>
      </c>
      <c r="C155" s="88"/>
      <c r="D155" s="88"/>
      <c r="E155" s="397"/>
      <c r="F155" s="397"/>
      <c r="G155" s="397"/>
      <c r="H155" s="298">
        <f ca="1">INDIRECT(ADDRESS((6*40)+(46*67)-(85*39),8,1))+$H$85-INDIRECT(ADDRESS((6*39)+(46*66)-(85*38),8,1))</f>
        <v>702.7733577934437</v>
      </c>
    </row>
    <row r="156" spans="1:8" ht="12.75">
      <c r="A156" s="83">
        <f>(A74*'Construct &amp; Scrutinize 79 tones'!B188)</f>
        <v>951.824814792221</v>
      </c>
      <c r="B156" s="90" t="s">
        <v>432</v>
      </c>
      <c r="C156" s="88"/>
      <c r="D156" s="88"/>
      <c r="E156" s="397"/>
      <c r="F156" s="397"/>
      <c r="G156" s="397"/>
      <c r="H156" s="298">
        <f ca="1">INDIRECT(ADDRESS((6*40)+(46*68)-(85*39),8,1))-INDIRECT(ADDRESS((6*40)+(46*67)-(85*39),8,1))</f>
        <v>700.8637723079432</v>
      </c>
    </row>
    <row r="157" spans="1:8" ht="12.75">
      <c r="A157" s="83">
        <f>(A75*'Construct &amp; Scrutinize 79 tones'!B188)</f>
        <v>960.1587607428414</v>
      </c>
      <c r="B157" s="90" t="s">
        <v>435</v>
      </c>
      <c r="C157" s="88"/>
      <c r="D157" s="88"/>
      <c r="E157" s="397"/>
      <c r="F157" s="397"/>
      <c r="G157" s="397"/>
      <c r="H157" s="298">
        <f ca="1">INDIRECT(ADDRESS((6*41)+(46*69)-(85*40),8,1))+$H$85-INDIRECT(ADDRESS((6*40)+(46*68)-(85*39),8,1))</f>
        <v>693.9315719099658</v>
      </c>
    </row>
    <row r="158" spans="1:8" ht="12.75">
      <c r="A158" s="83">
        <f>(A76*'Construct &amp; Scrutinize 79 tones'!B188)</f>
        <v>968.565676691764</v>
      </c>
      <c r="B158" s="90" t="s">
        <v>436</v>
      </c>
      <c r="C158" s="88"/>
      <c r="D158" s="88"/>
      <c r="E158" s="397"/>
      <c r="F158" s="397"/>
      <c r="G158" s="397"/>
      <c r="H158" s="298">
        <f ca="1">INDIRECT(ADDRESS((6*41)+(46*70)-(85*40),8,1))-INDIRECT(ADDRESS((6*41)+(46*69)-(85*40),8,1))</f>
        <v>701.9550008653873</v>
      </c>
    </row>
    <row r="159" spans="1:8" ht="12.75">
      <c r="A159" s="83">
        <f>(A77*'Construct &amp; Scrutinize 79 tones'!B188)</f>
        <v>977.0462015464805</v>
      </c>
      <c r="B159" s="90" t="s">
        <v>437</v>
      </c>
      <c r="C159" s="88"/>
      <c r="D159" s="88"/>
      <c r="E159" s="397"/>
      <c r="F159" s="397"/>
      <c r="G159" s="397"/>
      <c r="H159" s="298">
        <f ca="1">INDIRECT(ADDRESS((6*42)+(46*71)-(85*41),8,1))+$H$85-INDIRECT(ADDRESS((6*41)+(46*70)-(85*40),8,1))</f>
        <v>695.4441468241048</v>
      </c>
    </row>
    <row r="160" spans="1:8" ht="12.75">
      <c r="A160" s="79">
        <f>(A78*'Construct &amp; Scrutinize 79 tones'!B188)</f>
        <v>985.6009798086188</v>
      </c>
      <c r="B160" s="91" t="s">
        <v>438</v>
      </c>
      <c r="C160" s="88"/>
      <c r="D160" s="88"/>
      <c r="E160" s="397"/>
      <c r="F160" s="397"/>
      <c r="G160" s="397"/>
      <c r="H160" s="298">
        <f ca="1">INDIRECT(ADDRESS((6*42)+(46*72)-(85*41),8,1))-INDIRECT(ADDRESS((6*42)+(46*71)-(85*41),8,1))</f>
        <v>700.6498865562608</v>
      </c>
    </row>
    <row r="161" spans="1:8" ht="12.75">
      <c r="A161" s="83">
        <f>(A79*'Construct &amp; Scrutinize 79 tones'!B188)</f>
        <v>994.2306616229316</v>
      </c>
      <c r="B161" s="90" t="s">
        <v>439</v>
      </c>
      <c r="C161" s="88"/>
      <c r="D161" s="88"/>
      <c r="E161" s="397"/>
      <c r="F161" s="397"/>
      <c r="G161" s="397"/>
      <c r="H161" s="298">
        <f ca="1">INDIRECT(ADDRESS((6*43)+(46*73)-(85*42),8,1))+$H$85-INDIRECT(ADDRESS((6*42)+(46*72)-(85*41),8,1))</f>
        <v>694.1035858252608</v>
      </c>
    </row>
    <row r="162" spans="1:8" ht="12.75">
      <c r="A162" s="83">
        <f>(A80*'Construct &amp; Scrutinize 79 tones'!B188)</f>
        <v>1002.9359028265997</v>
      </c>
      <c r="B162" s="90" t="s">
        <v>440</v>
      </c>
      <c r="C162" s="88"/>
      <c r="D162" s="88"/>
      <c r="E162" s="397"/>
      <c r="F162" s="397"/>
      <c r="G162" s="397"/>
      <c r="H162" s="298">
        <f ca="1">INDIRECT(ADDRESS((6*44)+(46*74)-(85*43),8,1))+$H$85-INDIRECT(ADDRESS((6*43)+(46*73)-(85*42),8,1))</f>
        <v>702.3435619822843</v>
      </c>
    </row>
    <row r="163" spans="1:8" ht="12.75">
      <c r="A163" s="83">
        <f>(A81*'Construct &amp; Scrutinize 79 tones'!B188)</f>
        <v>1011.7173649992453</v>
      </c>
      <c r="B163" s="90" t="s">
        <v>441</v>
      </c>
      <c r="C163" s="88"/>
      <c r="D163" s="88"/>
      <c r="E163" s="397"/>
      <c r="F163" s="397"/>
      <c r="G163" s="397"/>
      <c r="H163" s="298">
        <f ca="1">INDIRECT(ADDRESS((6*44)+(46*75)-(85*43),8,1))-INDIRECT(ADDRESS((6*44)+(46*74)-(85*43),8,1))</f>
        <v>701.9550008653874</v>
      </c>
    </row>
    <row r="164" spans="1:8" ht="12.75">
      <c r="A164" s="83">
        <f>(A82*'Construct &amp; Scrutinize 79 tones'!B188)</f>
        <v>1020.5757155131062</v>
      </c>
      <c r="B164" s="90" t="s">
        <v>442</v>
      </c>
      <c r="C164" s="88"/>
      <c r="D164" s="88"/>
      <c r="E164" s="397"/>
      <c r="F164" s="397"/>
      <c r="G164" s="397"/>
      <c r="H164" s="298">
        <f ca="1">INDIRECT(ADDRESS((6*45)+(46*76)-(85*44),8,1))+$H$85-INDIRECT(ADDRESS((6*44)+(46*75)-(85*43),8,1))</f>
        <v>694.6874409612726</v>
      </c>
    </row>
    <row r="165" spans="1:8" ht="12.75">
      <c r="A165" s="83">
        <f>(A83*'Construct &amp; Scrutinize 79 tones'!B188)</f>
        <v>1029.5116275837224</v>
      </c>
      <c r="B165" s="90" t="s">
        <v>443</v>
      </c>
      <c r="C165" s="88"/>
      <c r="E165" s="393"/>
      <c r="F165" s="393"/>
      <c r="G165" s="393"/>
      <c r="H165" s="298">
        <f ca="1">INDIRECT(ADDRESS((6*45)+(46*77)-(85*44),8,1))-INDIRECT(ADDRESS((6*45)+(46*76)-(85*44),8,1))</f>
        <v>701.1327571790343</v>
      </c>
    </row>
    <row r="166" spans="1:8" ht="12.75">
      <c r="A166" s="83">
        <f>(A84*'Construct &amp; Scrutinize 79 tones'!B188)</f>
        <v>1038.5257803211582</v>
      </c>
      <c r="B166" s="90" t="s">
        <v>444</v>
      </c>
      <c r="C166" s="88"/>
      <c r="E166" s="393"/>
      <c r="F166" s="393"/>
      <c r="G166" s="393"/>
      <c r="H166" s="298">
        <f ca="1">INDIRECT(ADDRESS((6*46)+(46*78)-(85*45),8,1))+$H$85-INDIRECT(ADDRESS((6*45)+(46*77)-(85*44),8,1))</f>
        <v>694.5371811658187</v>
      </c>
    </row>
    <row r="167" spans="1:8" ht="12.75">
      <c r="A167" s="79">
        <f>(A85*'Construct &amp; Scrutinize 79 tones'!B188)</f>
        <v>1047.6188587816546</v>
      </c>
      <c r="B167" s="92" t="s">
        <v>445</v>
      </c>
      <c r="C167" s="88"/>
      <c r="E167" s="393"/>
      <c r="F167" s="393"/>
      <c r="G167" s="393"/>
      <c r="H167" s="298">
        <f ca="1">INDIRECT(ADDRESS((6*46)+(46*79)-(85*45),8,1))-INDIRECT(ADDRESS((6*46)+(46*78)-(85*45),8,1))</f>
        <v>701.9550008653894</v>
      </c>
    </row>
    <row r="168" ht="12.75">
      <c r="H168" t="s">
        <v>88</v>
      </c>
    </row>
    <row r="169" ht="12.75">
      <c r="H169" s="298">
        <f>SUM(H89:H167)</f>
        <v>55200.00000000001</v>
      </c>
    </row>
  </sheetData>
  <mergeCells count="80">
    <mergeCell ref="E91:G91"/>
    <mergeCell ref="E92:G92"/>
    <mergeCell ref="E93:G93"/>
    <mergeCell ref="E94:G94"/>
    <mergeCell ref="F86:G86"/>
    <mergeCell ref="E90:G90"/>
    <mergeCell ref="E89:G89"/>
    <mergeCell ref="E88:G88"/>
    <mergeCell ref="E87:G87"/>
    <mergeCell ref="E95:G95"/>
    <mergeCell ref="E96:G96"/>
    <mergeCell ref="E97:G97"/>
    <mergeCell ref="E98:G98"/>
    <mergeCell ref="E99:G99"/>
    <mergeCell ref="E100:G100"/>
    <mergeCell ref="E101:G101"/>
    <mergeCell ref="E102:G102"/>
    <mergeCell ref="E103:G103"/>
    <mergeCell ref="E104:G104"/>
    <mergeCell ref="E105:G105"/>
    <mergeCell ref="E106:G106"/>
    <mergeCell ref="E107:G107"/>
    <mergeCell ref="E108:G108"/>
    <mergeCell ref="E109:G109"/>
    <mergeCell ref="E110:G110"/>
    <mergeCell ref="E112:G112"/>
    <mergeCell ref="E113:G113"/>
    <mergeCell ref="E114:G114"/>
    <mergeCell ref="E115:G115"/>
    <mergeCell ref="E116:G116"/>
    <mergeCell ref="E117:G117"/>
    <mergeCell ref="E118:G118"/>
    <mergeCell ref="E119:G119"/>
    <mergeCell ref="E120:G120"/>
    <mergeCell ref="E121:G121"/>
    <mergeCell ref="E122:G122"/>
    <mergeCell ref="E123:G123"/>
    <mergeCell ref="E124:G124"/>
    <mergeCell ref="E125:G125"/>
    <mergeCell ref="E126:G126"/>
    <mergeCell ref="E127:G127"/>
    <mergeCell ref="E128:G128"/>
    <mergeCell ref="E129:G129"/>
    <mergeCell ref="E131:G131"/>
    <mergeCell ref="E132:G132"/>
    <mergeCell ref="E133:G133"/>
    <mergeCell ref="E134:G134"/>
    <mergeCell ref="E135:G135"/>
    <mergeCell ref="E136:G136"/>
    <mergeCell ref="E137:G137"/>
    <mergeCell ref="E138:G138"/>
    <mergeCell ref="E139:G139"/>
    <mergeCell ref="E140:G140"/>
    <mergeCell ref="E141:G141"/>
    <mergeCell ref="E142:G142"/>
    <mergeCell ref="E143:G143"/>
    <mergeCell ref="E144:G144"/>
    <mergeCell ref="E145:G145"/>
    <mergeCell ref="E146:G146"/>
    <mergeCell ref="E147:G147"/>
    <mergeCell ref="E148:G148"/>
    <mergeCell ref="E149:G149"/>
    <mergeCell ref="E150:G150"/>
    <mergeCell ref="E151:G151"/>
    <mergeCell ref="E152:G152"/>
    <mergeCell ref="E153:G153"/>
    <mergeCell ref="E154:G154"/>
    <mergeCell ref="E155:G155"/>
    <mergeCell ref="E156:G156"/>
    <mergeCell ref="E157:G157"/>
    <mergeCell ref="E158:G158"/>
    <mergeCell ref="E159:G159"/>
    <mergeCell ref="E160:G160"/>
    <mergeCell ref="E165:G165"/>
    <mergeCell ref="E166:G166"/>
    <mergeCell ref="E167:G167"/>
    <mergeCell ref="E161:G161"/>
    <mergeCell ref="E162:G162"/>
    <mergeCell ref="E163:G163"/>
    <mergeCell ref="E164:G164"/>
  </mergeCells>
  <printOptions/>
  <pageMargins left="0.75" right="0.75" top="1" bottom="1" header="0.5" footer="0.5"/>
  <pageSetup horizontalDpi="600" verticalDpi="600" orientation="portrait" paperSize="8" scale="80" r:id="rId3"/>
  <rowBreaks count="1" manualBreakCount="1">
    <brk id="85" max="255" man="1"/>
  </rowBreaks>
  <legacyDrawing r:id="rId2"/>
</worksheet>
</file>

<file path=xl/worksheets/sheet3.xml><?xml version="1.0" encoding="utf-8"?>
<worksheet xmlns="http://schemas.openxmlformats.org/spreadsheetml/2006/main" xmlns:r="http://schemas.openxmlformats.org/officeDocument/2006/relationships">
  <dimension ref="A1:K159"/>
  <sheetViews>
    <sheetView workbookViewId="0" topLeftCell="A1">
      <selection activeCell="J108" sqref="J108"/>
    </sheetView>
  </sheetViews>
  <sheetFormatPr defaultColWidth="9.140625" defaultRowHeight="12.75"/>
  <cols>
    <col min="1" max="19" width="15.7109375" style="106" customWidth="1"/>
  </cols>
  <sheetData>
    <row r="1" spans="1:11" ht="12.75">
      <c r="A1" s="112" t="s">
        <v>472</v>
      </c>
      <c r="G1" s="283"/>
      <c r="H1" s="283"/>
      <c r="I1" s="283"/>
      <c r="J1" s="283"/>
      <c r="K1" s="283"/>
    </row>
    <row r="2" spans="1:11" ht="12.75">
      <c r="A2" s="106">
        <f>'Inspect &amp; Adjust Beats'!H58-('Inspect &amp; Adjust Beats'!H85*2)</f>
        <v>-1607.9232528457499</v>
      </c>
      <c r="G2" s="283"/>
      <c r="H2" s="283"/>
      <c r="I2" s="283"/>
      <c r="J2" s="283"/>
      <c r="K2" s="283"/>
    </row>
    <row r="3" spans="1:11" ht="12.75">
      <c r="A3" s="106">
        <f>'Inspect &amp; Adjust Beats'!H59-('Inspect &amp; Adjust Beats'!H85*2)</f>
        <v>-1592.3123801715149</v>
      </c>
      <c r="G3" s="385" t="s">
        <v>565</v>
      </c>
      <c r="H3" s="385"/>
      <c r="I3" s="385"/>
      <c r="J3" s="385"/>
      <c r="K3" s="385"/>
    </row>
    <row r="4" spans="1:11" ht="12.75">
      <c r="A4" s="106">
        <f>'Inspect &amp; Adjust Beats'!H60-('Inspect &amp; Adjust Beats'!H85*2)</f>
        <v>-1577.8681505618752</v>
      </c>
      <c r="E4" s="112" t="s">
        <v>481</v>
      </c>
      <c r="G4" s="407" t="s">
        <v>566</v>
      </c>
      <c r="H4" s="407"/>
      <c r="I4" s="407"/>
      <c r="J4" s="407"/>
      <c r="K4" s="407"/>
    </row>
    <row r="5" spans="1:11" ht="12.75">
      <c r="A5" s="106">
        <f>'Inspect &amp; Adjust Beats'!H61-('Inspect &amp; Adjust Beats'!H85*2)</f>
        <v>-1562.5247646148634</v>
      </c>
      <c r="E5" s="107">
        <f>'Inspect &amp; Adjust Beats'!H78-('Inspect &amp; Adjust Beats'!H85)</f>
        <v>-106.45312859275737</v>
      </c>
      <c r="G5" s="407"/>
      <c r="H5" s="407"/>
      <c r="I5" s="407"/>
      <c r="J5" s="407"/>
      <c r="K5" s="407"/>
    </row>
    <row r="6" spans="1:11" ht="12.75">
      <c r="A6" s="106">
        <f>'Inspect &amp; Adjust Beats'!H62-('Inspect &amp; Adjust Beats'!H85*2)</f>
        <v>-1547.3161685727307</v>
      </c>
      <c r="E6" s="106">
        <f>'Inspect &amp; Adjust Beats'!H79-('Inspect &amp; Adjust Beats'!H85)</f>
        <v>-90.71452884444761</v>
      </c>
      <c r="G6" s="407" t="s">
        <v>486</v>
      </c>
      <c r="H6" s="407"/>
      <c r="I6" s="407"/>
      <c r="J6" s="407"/>
      <c r="K6" s="407"/>
    </row>
    <row r="7" spans="1:11" ht="12.75">
      <c r="A7" s="106">
        <f>'Inspect &amp; Adjust Beats'!H63-('Inspect &amp; Adjust Beats'!H85*2)</f>
        <v>-1532.240014816036</v>
      </c>
      <c r="E7" s="106">
        <f>'Inspect &amp; Adjust Beats'!H80-('Inspect &amp; Adjust Beats'!H85)</f>
        <v>-75.98053311032345</v>
      </c>
      <c r="G7" s="407" t="s">
        <v>485</v>
      </c>
      <c r="H7" s="407"/>
      <c r="I7" s="407"/>
      <c r="J7" s="407"/>
      <c r="K7" s="407"/>
    </row>
    <row r="8" spans="1:11" ht="12.75">
      <c r="A8" s="107">
        <f>'Inspect &amp; Adjust Beats'!H64-('Inspect &amp; Adjust Beats'!H85*2)</f>
        <v>-1517.294016528523</v>
      </c>
      <c r="E8" s="106">
        <f>'Inspect &amp; Adjust Beats'!H81-('Inspect &amp; Adjust Beats'!H85)</f>
        <v>-60.515312211768105</v>
      </c>
      <c r="G8" s="407"/>
      <c r="H8" s="407"/>
      <c r="I8" s="407"/>
      <c r="J8" s="407"/>
      <c r="K8" s="407"/>
    </row>
    <row r="9" spans="1:11" ht="12.75">
      <c r="A9" s="108">
        <f>'Inspect &amp; Adjust Beats'!H65-('Inspect &amp; Adjust Beats'!H85*2)</f>
        <v>-1502.4759456153488</v>
      </c>
      <c r="E9" s="106">
        <f>'Inspect &amp; Adjust Beats'!H82-('Inspect &amp; Adjust Beats'!H85)</f>
        <v>-46.03504140567725</v>
      </c>
      <c r="G9" s="407" t="s">
        <v>538</v>
      </c>
      <c r="H9" s="407"/>
      <c r="I9" s="407"/>
      <c r="J9" s="407"/>
      <c r="K9" s="407"/>
    </row>
    <row r="10" spans="1:11" ht="12.75">
      <c r="A10" s="106">
        <f>'Inspect &amp; Adjust Beats'!H66-('Inspect &amp; Adjust Beats'!H85*2)</f>
        <v>-1486.8085622248132</v>
      </c>
      <c r="E10" s="106">
        <f>'Inspect &amp; Adjust Beats'!H83-('Inspect &amp; Adjust Beats'!H85)</f>
        <v>-30.83386428623521</v>
      </c>
      <c r="G10" s="407" t="s">
        <v>567</v>
      </c>
      <c r="H10" s="407"/>
      <c r="I10" s="407"/>
      <c r="J10" s="407"/>
      <c r="K10" s="407"/>
    </row>
    <row r="11" spans="1:11" ht="12.75">
      <c r="A11" s="106">
        <f>'Inspect &amp; Adjust Beats'!H67-('Inspect &amp; Adjust Beats'!H85*2)</f>
        <v>-1472.2480554617869</v>
      </c>
      <c r="E11" s="106">
        <f>'Inspect &amp; Adjust Beats'!H84-('Inspect &amp; Adjust Beats'!H85)</f>
        <v>-15.765000831363068</v>
      </c>
      <c r="G11" s="407"/>
      <c r="H11" s="407"/>
      <c r="I11" s="407"/>
      <c r="J11" s="407"/>
      <c r="K11" s="407"/>
    </row>
    <row r="12" spans="1:11" ht="12.75">
      <c r="A12" s="106">
        <f>'Inspect &amp; Adjust Beats'!H68-('Inspect &amp; Adjust Beats'!H85*2)</f>
        <v>-1455.892846946715</v>
      </c>
      <c r="E12" s="113">
        <f>'Inspect &amp; Adjust Beats'!H6</f>
        <v>0</v>
      </c>
      <c r="G12" s="407" t="s">
        <v>568</v>
      </c>
      <c r="H12" s="407"/>
      <c r="I12" s="407"/>
      <c r="J12" s="407"/>
      <c r="K12" s="407"/>
    </row>
    <row r="13" spans="1:11" ht="12.75">
      <c r="A13" s="106">
        <f>'Inspect &amp; Adjust Beats'!H69-('Inspect &amp; Adjust Beats'!H85*2)</f>
        <v>-1440.6395848472503</v>
      </c>
      <c r="E13" s="106">
        <f>'Inspect &amp; Adjust Beats'!H7</f>
        <v>16.44109269189054</v>
      </c>
      <c r="G13" s="407" t="s">
        <v>493</v>
      </c>
      <c r="H13" s="407"/>
      <c r="I13" s="407"/>
      <c r="J13" s="407"/>
      <c r="K13" s="407"/>
    </row>
    <row r="14" spans="1:11" ht="12.75">
      <c r="A14" s="106">
        <f>'Inspect &amp; Adjust Beats'!H70-('Inspect &amp; Adjust Beats'!H85*2)</f>
        <v>-1426.460684550615</v>
      </c>
      <c r="B14" s="112" t="s">
        <v>473</v>
      </c>
      <c r="E14" s="106">
        <f>'Inspect &amp; Adjust Beats'!H8</f>
        <v>31.105751144369663</v>
      </c>
      <c r="G14" s="407" t="s">
        <v>487</v>
      </c>
      <c r="H14" s="407"/>
      <c r="I14" s="407"/>
      <c r="J14" s="407"/>
      <c r="K14" s="407"/>
    </row>
    <row r="15" spans="1:11" ht="12.75">
      <c r="A15" s="109">
        <f>'Inspect &amp; Adjust Beats'!H71-('Inspect &amp; Adjust Beats'!H85*2)</f>
        <v>-1411.4634360351415</v>
      </c>
      <c r="B15" s="107">
        <f>'Inspect &amp; Adjust Beats'!H71-('Inspect &amp; Adjust Beats'!H85*2)</f>
        <v>-1411.4634360351415</v>
      </c>
      <c r="E15" s="106">
        <f>'Inspect &amp; Adjust Beats'!H9</f>
        <v>45.647233223008804</v>
      </c>
      <c r="G15" s="283"/>
      <c r="H15" s="283"/>
      <c r="I15" s="283"/>
      <c r="J15" s="283"/>
      <c r="K15" s="283"/>
    </row>
    <row r="16" spans="1:11" ht="12.75">
      <c r="A16" s="109">
        <f>'Inspect &amp; Adjust Beats'!H72-('Inspect &amp; Adjust Beats'!H85*2)</f>
        <v>-1396.492182031208</v>
      </c>
      <c r="B16" s="106">
        <f>'Inspect &amp; Adjust Beats'!H72-('Inspect &amp; Adjust Beats'!H85*2)</f>
        <v>-1396.492182031208</v>
      </c>
      <c r="E16" s="106">
        <f>'Inspect &amp; Adjust Beats'!H10</f>
        <v>60.067590953269544</v>
      </c>
      <c r="H16" s="283"/>
      <c r="I16" s="283"/>
      <c r="J16" s="283"/>
      <c r="K16" s="283"/>
    </row>
    <row r="17" spans="1:11" ht="12.75">
      <c r="A17" s="109">
        <f>'Inspect &amp; Adjust Beats'!H73-('Inspect &amp; Adjust Beats'!H85*2)</f>
        <v>-1380.935942610731</v>
      </c>
      <c r="B17" s="106">
        <f>'Inspect &amp; Adjust Beats'!H73-('Inspect &amp; Adjust Beats'!H85*2)</f>
        <v>-1380.935942610731</v>
      </c>
      <c r="E17" s="106">
        <f>'Inspect &amp; Adjust Beats'!H11</f>
        <v>75.95058354130245</v>
      </c>
      <c r="F17" s="112" t="s">
        <v>494</v>
      </c>
      <c r="H17" s="283"/>
      <c r="I17" s="283"/>
      <c r="J17" s="283"/>
      <c r="K17" s="283"/>
    </row>
    <row r="18" spans="1:11" ht="12.75">
      <c r="A18" s="194">
        <f>'Inspect &amp; Adjust Beats'!H74-('Inspect &amp; Adjust Beats'!H85*2)</f>
        <v>-1366.326285875408</v>
      </c>
      <c r="B18" s="106">
        <f>'Inspect &amp; Adjust Beats'!H74-('Inspect &amp; Adjust Beats'!H85*2)</f>
        <v>-1366.326285875408</v>
      </c>
      <c r="E18" s="109">
        <f>'Inspect &amp; Adjust Beats'!H12</f>
        <v>91.68918328961222</v>
      </c>
      <c r="F18" s="106">
        <f>'Inspect &amp; Adjust Beats'!H12</f>
        <v>91.68918328961222</v>
      </c>
      <c r="H18" s="385" t="s">
        <v>484</v>
      </c>
      <c r="I18" s="385"/>
      <c r="J18" s="385"/>
      <c r="K18" s="385"/>
    </row>
    <row r="19" spans="1:11" ht="12.75">
      <c r="A19" s="194">
        <f>'Inspect &amp; Adjust Beats'!H75-('Inspect &amp; Adjust Beats'!H85*2)</f>
        <v>-1350.9374374463075</v>
      </c>
      <c r="B19" s="106">
        <f>'Inspect &amp; Adjust Beats'!H75-('Inspect &amp; Adjust Beats'!H85*2)</f>
        <v>-1350.9374374463075</v>
      </c>
      <c r="E19" s="109">
        <f>'Inspect &amp; Adjust Beats'!H13</f>
        <v>105.7326189630977</v>
      </c>
      <c r="F19" s="106">
        <f>'Inspect &amp; Adjust Beats'!H13</f>
        <v>105.7326189630977</v>
      </c>
      <c r="H19" s="407" t="s">
        <v>482</v>
      </c>
      <c r="I19" s="407"/>
      <c r="J19" s="407"/>
      <c r="K19" s="407"/>
    </row>
    <row r="20" spans="1:11" ht="12.75">
      <c r="A20" s="194">
        <f>'Inspect &amp; Adjust Beats'!H76-('Inspect &amp; Adjust Beats'!H85*2)</f>
        <v>-1335.6841753468432</v>
      </c>
      <c r="B20" s="106">
        <f>'Inspect &amp; Adjust Beats'!H76-('Inspect &amp; Adjust Beats'!H85*2)</f>
        <v>-1335.6841753468432</v>
      </c>
      <c r="E20" s="109">
        <f>'Inspect &amp; Adjust Beats'!H14</f>
        <v>121.2039824201709</v>
      </c>
      <c r="F20" s="106">
        <f>'Inspect &amp; Adjust Beats'!H14</f>
        <v>121.2039824201709</v>
      </c>
      <c r="H20" s="404"/>
      <c r="I20" s="404"/>
      <c r="J20" s="404"/>
      <c r="K20" s="404"/>
    </row>
    <row r="21" spans="1:11" ht="12.75">
      <c r="A21" s="110">
        <f>'Inspect &amp; Adjust Beats'!H77-('Inspect &amp; Adjust Beats'!H85*2)</f>
        <v>-1320.5641312112828</v>
      </c>
      <c r="B21" s="106">
        <f>'Inspect &amp; Adjust Beats'!H77-('Inspect &amp; Adjust Beats'!H85*2)</f>
        <v>-1320.5641312112828</v>
      </c>
      <c r="C21" s="112" t="s">
        <v>474</v>
      </c>
      <c r="E21" s="110">
        <f>'Inspect &amp; Adjust Beats'!H15</f>
        <v>136.53830808573417</v>
      </c>
      <c r="F21" s="106">
        <f>'Inspect &amp; Adjust Beats'!H15</f>
        <v>136.53830808573417</v>
      </c>
      <c r="H21" s="407" t="s">
        <v>545</v>
      </c>
      <c r="I21" s="407"/>
      <c r="J21" s="407"/>
      <c r="K21" s="407"/>
    </row>
    <row r="22" spans="2:11" ht="12.75">
      <c r="B22" s="108">
        <f>'Inspect &amp; Adjust Beats'!H78-('Inspect &amp; Adjust Beats'!H85*2)</f>
        <v>-1306.4531285927574</v>
      </c>
      <c r="C22" s="106">
        <f>'Inspect &amp; Adjust Beats'!H78-('Inspect &amp; Adjust Beats'!H85*2)</f>
        <v>-1306.4531285927574</v>
      </c>
      <c r="E22" s="110">
        <f>'Inspect &amp; Adjust Beats'!H16</f>
        <v>151.73800228912688</v>
      </c>
      <c r="F22" s="106">
        <f>'Inspect &amp; Adjust Beats'!H16</f>
        <v>151.73800228912688</v>
      </c>
      <c r="H22" s="407" t="s">
        <v>546</v>
      </c>
      <c r="I22" s="407"/>
      <c r="J22" s="407"/>
      <c r="K22" s="407"/>
    </row>
    <row r="23" spans="2:11" ht="12.75">
      <c r="B23" s="106">
        <f>'Inspect &amp; Adjust Beats'!H79-('Inspect &amp; Adjust Beats'!H85*2)</f>
        <v>-1290.7145288444476</v>
      </c>
      <c r="C23" s="106">
        <f>'Inspect &amp; Adjust Beats'!H79-('Inspect &amp; Adjust Beats'!H85*2)</f>
        <v>-1290.7145288444476</v>
      </c>
      <c r="E23" s="110">
        <f>'Inspect &amp; Adjust Beats'!H17</f>
        <v>166.8054085296385</v>
      </c>
      <c r="F23" s="106">
        <f>'Inspect &amp; Adjust Beats'!H17</f>
        <v>166.8054085296385</v>
      </c>
      <c r="H23" s="407" t="s">
        <v>576</v>
      </c>
      <c r="I23" s="407"/>
      <c r="J23" s="407"/>
      <c r="K23" s="407"/>
    </row>
    <row r="24" spans="2:11" ht="12.75">
      <c r="B24" s="106">
        <f>'Inspect &amp; Adjust Beats'!H80-('Inspect &amp; Adjust Beats'!H85*2)</f>
        <v>-1275.9805331103234</v>
      </c>
      <c r="C24" s="106">
        <f>'Inspect &amp; Adjust Beats'!H80-('Inspect &amp; Adjust Beats'!H85*2)</f>
        <v>-1275.9805331103234</v>
      </c>
      <c r="E24" s="110">
        <f>'Inspect &amp; Adjust Beats'!H18</f>
        <v>181.74280964500016</v>
      </c>
      <c r="F24" s="106">
        <f>'Inspect &amp; Adjust Beats'!H18</f>
        <v>181.74280964500016</v>
      </c>
      <c r="H24" s="407" t="s">
        <v>496</v>
      </c>
      <c r="I24" s="407"/>
      <c r="J24" s="407"/>
      <c r="K24" s="407"/>
    </row>
    <row r="25" spans="2:11" ht="12.75">
      <c r="B25" s="106">
        <f>'Inspect &amp; Adjust Beats'!H81-('Inspect &amp; Adjust Beats'!H85*2)</f>
        <v>-1260.515312211768</v>
      </c>
      <c r="C25" s="106">
        <f>'Inspect &amp; Adjust Beats'!H81-('Inspect &amp; Adjust Beats'!H85*2)</f>
        <v>-1260.515312211768</v>
      </c>
      <c r="F25" s="108">
        <f>'Inspect &amp; Adjust Beats'!H19</f>
        <v>196.55242988712212</v>
      </c>
      <c r="H25" s="407"/>
      <c r="I25" s="407"/>
      <c r="J25" s="407"/>
      <c r="K25" s="407"/>
    </row>
    <row r="26" spans="2:11" ht="12.75">
      <c r="B26" s="107">
        <f>'Inspect &amp; Adjust Beats'!H82-('Inspect &amp; Adjust Beats'!H85*2)</f>
        <v>-1246.0350414056772</v>
      </c>
      <c r="C26" s="106">
        <f>'Inspect &amp; Adjust Beats'!H82-('Inspect &amp; Adjust Beats'!H85*2)</f>
        <v>-1246.0350414056772</v>
      </c>
      <c r="F26" s="106">
        <f>'Inspect &amp; Adjust Beats'!H20</f>
        <v>211.23643690979958</v>
      </c>
      <c r="H26" s="407" t="s">
        <v>500</v>
      </c>
      <c r="I26" s="407"/>
      <c r="J26" s="407"/>
      <c r="K26" s="407"/>
    </row>
    <row r="27" spans="2:10" ht="12.75">
      <c r="B27" s="106">
        <f>'Inspect &amp; Adjust Beats'!H83-('Inspect &amp; Adjust Beats'!H85*2)</f>
        <v>-1230.8338642862352</v>
      </c>
      <c r="C27" s="106">
        <f>'Inspect &amp; Adjust Beats'!H83-('Inspect &amp; Adjust Beats'!H85*2)</f>
        <v>-1230.8338642862352</v>
      </c>
      <c r="F27" s="106">
        <f>'Inspect &amp; Adjust Beats'!H21</f>
        <v>227.24628159679278</v>
      </c>
      <c r="H27" s="407" t="s">
        <v>501</v>
      </c>
      <c r="I27" s="384"/>
      <c r="J27" s="170">
        <f>'Inspect &amp; Adjust Beats'!F65</f>
        <v>440</v>
      </c>
    </row>
    <row r="28" spans="2:6" ht="12.75">
      <c r="B28" s="111">
        <f>'Inspect &amp; Adjust Beats'!H84-('Inspect &amp; Adjust Beats'!H85*2)</f>
        <v>-1215.765000831363</v>
      </c>
      <c r="C28" s="106">
        <f>'Inspect &amp; Adjust Beats'!H84-('Inspect &amp; Adjust Beats'!H85*2)</f>
        <v>-1215.765000831363</v>
      </c>
      <c r="F28" s="106">
        <f>'Inspect &amp; Adjust Beats'!H22</f>
        <v>241.67331549584844</v>
      </c>
    </row>
    <row r="29" spans="2:6" ht="12.75">
      <c r="B29" s="111">
        <f>'Inspect &amp; Adjust Beats'!H85-('Inspect &amp; Adjust Beats'!H85*2)</f>
        <v>-1200</v>
      </c>
      <c r="C29" s="108">
        <f>'Inspect &amp; Adjust Beats'!H85-('Inspect &amp; Adjust Beats'!H85*2)</f>
        <v>-1200</v>
      </c>
      <c r="F29" s="106">
        <f>'Inspect &amp; Adjust Beats'!H23</f>
        <v>257.4054142873622</v>
      </c>
    </row>
    <row r="30" spans="2:7" ht="12.75">
      <c r="B30" s="111">
        <f>'Inspect &amp; Adjust Beats'!H7-('Inspect &amp; Adjust Beats'!H85)</f>
        <v>-1183.5589073081094</v>
      </c>
      <c r="C30" s="106">
        <f>'Inspect &amp; Adjust Beats'!H7-('Inspect &amp; Adjust Beats'!H85)</f>
        <v>-1183.5589073081094</v>
      </c>
      <c r="F30" s="106">
        <f>'Inspect &amp; Adjust Beats'!H24</f>
        <v>271.58431458399735</v>
      </c>
      <c r="G30" s="112" t="s">
        <v>495</v>
      </c>
    </row>
    <row r="31" spans="2:7" ht="12.75">
      <c r="B31" s="110">
        <f>'Inspect &amp; Adjust Beats'!H8-('Inspect &amp; Adjust Beats'!H85)</f>
        <v>-1168.8942488556304</v>
      </c>
      <c r="C31" s="106">
        <f>'Inspect &amp; Adjust Beats'!H8-('Inspect &amp; Adjust Beats'!H85)</f>
        <v>-1168.8942488556304</v>
      </c>
      <c r="F31" s="109">
        <f>'Inspect &amp; Adjust Beats'!H25</f>
        <v>287.0481401267034</v>
      </c>
      <c r="G31" s="106">
        <f>'Inspect &amp; Adjust Beats'!H25</f>
        <v>287.0481401267034</v>
      </c>
    </row>
    <row r="32" spans="2:7" ht="12.75">
      <c r="B32" s="110">
        <f>'Inspect &amp; Adjust Beats'!H9-('Inspect &amp; Adjust Beats'!H85)</f>
        <v>-1154.3527667769913</v>
      </c>
      <c r="C32" s="106">
        <f>'Inspect &amp; Adjust Beats'!H9-('Inspect &amp; Adjust Beats'!H85)</f>
        <v>-1154.3527667769913</v>
      </c>
      <c r="F32" s="109">
        <f>'Inspect &amp; Adjust Beats'!H26</f>
        <v>302.3750607897577</v>
      </c>
      <c r="G32" s="106">
        <f>'Inspect &amp; Adjust Beats'!H26</f>
        <v>302.3750607897577</v>
      </c>
    </row>
    <row r="33" spans="2:7" ht="12.75">
      <c r="B33" s="110">
        <f>'Inspect &amp; Adjust Beats'!H10-('Inspect &amp; Adjust Beats'!H85)</f>
        <v>-1139.9324090467305</v>
      </c>
      <c r="C33" s="106">
        <f>'Inspect &amp; Adjust Beats'!H10-('Inspect &amp; Adjust Beats'!H85)</f>
        <v>-1139.9324090467305</v>
      </c>
      <c r="F33" s="109">
        <f>'Inspect &amp; Adjust Beats'!H27</f>
        <v>317.5674794178793</v>
      </c>
      <c r="G33" s="106">
        <f>'Inspect &amp; Adjust Beats'!H27</f>
        <v>317.5674794178793</v>
      </c>
    </row>
    <row r="34" spans="2:10" ht="12.75">
      <c r="B34" s="110">
        <f>'Inspect &amp; Adjust Beats'!H11-('Inspect &amp; Adjust Beats'!H85)</f>
        <v>-1124.0494164586976</v>
      </c>
      <c r="C34" s="106">
        <f>'Inspect &amp; Adjust Beats'!H11-('Inspect &amp; Adjust Beats'!H85)</f>
        <v>-1124.0494164586976</v>
      </c>
      <c r="D34" s="112" t="s">
        <v>475</v>
      </c>
      <c r="F34" s="110">
        <f>'Inspect &amp; Adjust Beats'!H28</f>
        <v>332.6277361464936</v>
      </c>
      <c r="G34" s="106">
        <f>'Inspect &amp; Adjust Beats'!H28</f>
        <v>332.6277361464936</v>
      </c>
      <c r="J34" s="114"/>
    </row>
    <row r="35" spans="3:7" ht="12.75">
      <c r="C35" s="109">
        <f>'Inspect &amp; Adjust Beats'!H12-('Inspect &amp; Adjust Beats'!H85)</f>
        <v>-1108.3108167103878</v>
      </c>
      <c r="D35" s="106">
        <f>'Inspect &amp; Adjust Beats'!H12-('Inspect &amp; Adjust Beats'!H85)</f>
        <v>-1108.3108167103878</v>
      </c>
      <c r="F35" s="110">
        <f>'Inspect &amp; Adjust Beats'!H29</f>
        <v>347.55811056503546</v>
      </c>
      <c r="G35" s="106">
        <f>'Inspect &amp; Adjust Beats'!H29</f>
        <v>347.55811056503546</v>
      </c>
    </row>
    <row r="36" spans="3:7" ht="12.75">
      <c r="C36" s="109">
        <f>'Inspect &amp; Adjust Beats'!H13-('Inspect &amp; Adjust Beats'!H85)</f>
        <v>-1094.2673810369024</v>
      </c>
      <c r="D36" s="106">
        <f>'Inspect &amp; Adjust Beats'!H13-('Inspect &amp; Adjust Beats'!H85)</f>
        <v>-1094.2673810369024</v>
      </c>
      <c r="F36" s="110">
        <f>'Inspect &amp; Adjust Beats'!H30</f>
        <v>362.3608237877697</v>
      </c>
      <c r="G36" s="106">
        <f>'Inspect &amp; Adjust Beats'!H30</f>
        <v>362.3608237877697</v>
      </c>
    </row>
    <row r="37" spans="3:8" ht="12.75">
      <c r="C37" s="109">
        <f>'Inspect &amp; Adjust Beats'!H14-('Inspect &amp; Adjust Beats'!H85)</f>
        <v>-1078.7960175798291</v>
      </c>
      <c r="D37" s="106">
        <f>'Inspect &amp; Adjust Beats'!H14-('Inspect &amp; Adjust Beats'!H85)</f>
        <v>-1078.7960175798291</v>
      </c>
      <c r="F37" s="110">
        <f>'Inspect &amp; Adjust Beats'!H31</f>
        <v>378.3661832323527</v>
      </c>
      <c r="G37" s="106">
        <f>'Inspect &amp; Adjust Beats'!H31</f>
        <v>378.3661832323527</v>
      </c>
      <c r="H37" s="112" t="s">
        <v>497</v>
      </c>
    </row>
    <row r="38" spans="3:8" ht="12.75">
      <c r="C38" s="110">
        <f>'Inspect &amp; Adjust Beats'!H15-('Inspect &amp; Adjust Beats'!H85)</f>
        <v>-1063.4616919142659</v>
      </c>
      <c r="D38" s="106">
        <f>'Inspect &amp; Adjust Beats'!H15-('Inspect &amp; Adjust Beats'!H85)</f>
        <v>-1063.4616919142659</v>
      </c>
      <c r="G38" s="108">
        <f>'Inspect &amp; Adjust Beats'!H32</f>
        <v>392.9088991706575</v>
      </c>
      <c r="H38" s="106">
        <f>'Inspect &amp; Adjust Beats'!H32</f>
        <v>392.9088991706575</v>
      </c>
    </row>
    <row r="39" spans="3:8" ht="12.75">
      <c r="C39" s="110">
        <f>'Inspect &amp; Adjust Beats'!H16-('Inspect &amp; Adjust Beats'!H85)</f>
        <v>-1048.2619977108732</v>
      </c>
      <c r="D39" s="106">
        <f>'Inspect &amp; Adjust Beats'!H16-('Inspect &amp; Adjust Beats'!H85)</f>
        <v>-1048.2619977108732</v>
      </c>
      <c r="G39" s="106">
        <f>'Inspect &amp; Adjust Beats'!H33</f>
        <v>408.63558459929163</v>
      </c>
      <c r="H39" s="106">
        <f>'Inspect &amp; Adjust Beats'!H33</f>
        <v>408.63558459929163</v>
      </c>
    </row>
    <row r="40" spans="3:8" ht="12.75">
      <c r="C40" s="110">
        <f>'Inspect &amp; Adjust Beats'!H17-('Inspect &amp; Adjust Beats'!H85)</f>
        <v>-1033.1945914703615</v>
      </c>
      <c r="D40" s="106">
        <f>'Inspect &amp; Adjust Beats'!H17-('Inspect &amp; Adjust Beats'!H85)</f>
        <v>-1033.1945914703615</v>
      </c>
      <c r="G40" s="106">
        <f>'Inspect &amp; Adjust Beats'!H34</f>
        <v>422.9272789248129</v>
      </c>
      <c r="H40" s="106">
        <f>'Inspect &amp; Adjust Beats'!H34</f>
        <v>422.9272789248129</v>
      </c>
    </row>
    <row r="41" spans="3:8" ht="12.75">
      <c r="C41" s="110">
        <f>'Inspect &amp; Adjust Beats'!H18-('Inspect &amp; Adjust Beats'!H85)</f>
        <v>-1018.2571903549998</v>
      </c>
      <c r="D41" s="106">
        <f>'Inspect &amp; Adjust Beats'!H18-('Inspect &amp; Adjust Beats'!H85)</f>
        <v>-1018.2571903549998</v>
      </c>
      <c r="G41" s="106">
        <f>'Inspect &amp; Adjust Beats'!H35</f>
        <v>438.38482848089143</v>
      </c>
      <c r="H41" s="106">
        <f>'Inspect &amp; Adjust Beats'!H35</f>
        <v>438.38482848089143</v>
      </c>
    </row>
    <row r="42" spans="3:8" ht="12.75">
      <c r="C42" s="109"/>
      <c r="D42" s="108">
        <f>'Inspect &amp; Adjust Beats'!H19-('Inspect &amp; Adjust Beats'!H85)</f>
        <v>-1003.4475701128779</v>
      </c>
      <c r="G42" s="106">
        <f>'Inspect &amp; Adjust Beats'!H36</f>
        <v>453.7055837695451</v>
      </c>
      <c r="H42" s="106">
        <f>'Inspect &amp; Adjust Beats'!H36</f>
        <v>453.7055837695451</v>
      </c>
    </row>
    <row r="43" spans="3:8" ht="12.75">
      <c r="C43" s="109"/>
      <c r="D43" s="106">
        <f>'Inspect &amp; Adjust Beats'!H20-('Inspect &amp; Adjust Beats'!H85)</f>
        <v>-988.7635630902005</v>
      </c>
      <c r="G43" s="106">
        <f>'Inspect &amp; Adjust Beats'!H37</f>
        <v>468.89194473678</v>
      </c>
      <c r="H43" s="106">
        <f>'Inspect &amp; Adjust Beats'!H37</f>
        <v>468.89194473678</v>
      </c>
    </row>
    <row r="44" spans="4:8" ht="12.75">
      <c r="D44" s="106">
        <f>'Inspect &amp; Adjust Beats'!H21-('Inspect &amp; Adjust Beats'!H85)</f>
        <v>-972.7537184032072</v>
      </c>
      <c r="G44" s="109">
        <f>'Inspect &amp; Adjust Beats'!H38</f>
        <v>483.9462487197161</v>
      </c>
      <c r="H44" s="106">
        <f>'Inspect &amp; Adjust Beats'!H38</f>
        <v>483.9462487197161</v>
      </c>
    </row>
    <row r="45" spans="3:8" ht="12.75">
      <c r="C45" s="110"/>
      <c r="D45" s="106">
        <f>'Inspect &amp; Adjust Beats'!H22-('Inspect &amp; Adjust Beats'!H85)</f>
        <v>-958.3266845041516</v>
      </c>
      <c r="G45" s="109">
        <f>'Inspect &amp; Adjust Beats'!H39</f>
        <v>498.0449991346107</v>
      </c>
      <c r="H45" s="108">
        <f>'Inspect &amp; Adjust Beats'!H39</f>
        <v>498.0449991346107</v>
      </c>
    </row>
    <row r="46" spans="3:8" ht="12.75">
      <c r="C46" s="110"/>
      <c r="D46" s="106">
        <f>'Inspect &amp; Adjust Beats'!H23-('Inspect &amp; Adjust Beats'!H85)</f>
        <v>-942.5945857126378</v>
      </c>
      <c r="G46" s="109">
        <f>'Inspect &amp; Adjust Beats'!H40</f>
        <v>513.667734898447</v>
      </c>
      <c r="H46" s="106">
        <f>'Inspect &amp; Adjust Beats'!H40</f>
        <v>513.667734898447</v>
      </c>
    </row>
    <row r="47" spans="1:8" ht="12.75">
      <c r="A47" s="112" t="s">
        <v>499</v>
      </c>
      <c r="C47" s="110"/>
      <c r="D47" s="106">
        <f>'Inspect &amp; Adjust Beats'!H24-('Inspect &amp; Adjust Beats'!H85)</f>
        <v>-928.4156854160026</v>
      </c>
      <c r="E47" s="112" t="s">
        <v>477</v>
      </c>
      <c r="G47" s="110">
        <f>'Inspect &amp; Adjust Beats'!H41</f>
        <v>528.339297698358</v>
      </c>
      <c r="H47" s="106">
        <f>'Inspect &amp; Adjust Beats'!H41</f>
        <v>528.339297698358</v>
      </c>
    </row>
    <row r="48" spans="1:8" ht="12.75">
      <c r="A48" s="106">
        <f>'Inspect &amp; Adjust Beats'!H58</f>
        <v>792.0767471542501</v>
      </c>
      <c r="D48" s="109">
        <f>'Inspect &amp; Adjust Beats'!H25-('Inspect &amp; Adjust Beats'!H85)</f>
        <v>-912.9518598732966</v>
      </c>
      <c r="E48" s="106">
        <f>'Inspect &amp; Adjust Beats'!H25-('Inspect &amp; Adjust Beats'!H85)</f>
        <v>-912.9518598732966</v>
      </c>
      <c r="G48" s="110">
        <f>'Inspect &amp; Adjust Beats'!H42</f>
        <v>544.0944240307199</v>
      </c>
      <c r="H48" s="106">
        <f>'Inspect &amp; Adjust Beats'!H42</f>
        <v>544.0944240307199</v>
      </c>
    </row>
    <row r="49" spans="1:8" ht="12.75">
      <c r="A49" s="106">
        <f>'Inspect &amp; Adjust Beats'!H59</f>
        <v>807.6876198284851</v>
      </c>
      <c r="D49" s="109">
        <f>'Inspect &amp; Adjust Beats'!H26-('Inspect &amp; Adjust Beats'!H85)</f>
        <v>-897.6249392102422</v>
      </c>
      <c r="E49" s="106">
        <f>'Inspect &amp; Adjust Beats'!H26-('Inspect &amp; Adjust Beats'!H85)</f>
        <v>-897.6249392102422</v>
      </c>
      <c r="G49" s="110">
        <f>'Inspect &amp; Adjust Beats'!H43</f>
        <v>558.5114459931292</v>
      </c>
      <c r="H49" s="106">
        <f>'Inspect &amp; Adjust Beats'!H43</f>
        <v>558.5114459931292</v>
      </c>
    </row>
    <row r="50" spans="1:9" ht="12.75">
      <c r="A50" s="106">
        <f>'Inspect &amp; Adjust Beats'!H60</f>
        <v>822.1318494381247</v>
      </c>
      <c r="D50" s="109">
        <f>'Inspect &amp; Adjust Beats'!H27-('Inspect &amp; Adjust Beats'!H85)</f>
        <v>-882.4325205821207</v>
      </c>
      <c r="E50" s="106">
        <f>'Inspect &amp; Adjust Beats'!H27-('Inspect &amp; Adjust Beats'!H85)</f>
        <v>-882.4325205821207</v>
      </c>
      <c r="G50" s="110">
        <f>'Inspect &amp; Adjust Beats'!H44</f>
        <v>573.9955826759152</v>
      </c>
      <c r="H50" s="106">
        <f>'Inspect &amp; Adjust Beats'!H44</f>
        <v>573.9955826759152</v>
      </c>
      <c r="I50" s="112" t="s">
        <v>498</v>
      </c>
    </row>
    <row r="51" spans="1:9" ht="12.75">
      <c r="A51" s="106">
        <f>'Inspect &amp; Adjust Beats'!H61</f>
        <v>837.4752353851366</v>
      </c>
      <c r="D51" s="110">
        <f>'Inspect &amp; Adjust Beats'!H28-('Inspect &amp; Adjust Beats'!H85)</f>
        <v>-867.3722638535064</v>
      </c>
      <c r="E51" s="106">
        <f>'Inspect &amp; Adjust Beats'!H28-('Inspect &amp; Adjust Beats'!H85)</f>
        <v>-867.3722638535064</v>
      </c>
      <c r="H51" s="109">
        <f>'Inspect &amp; Adjust Beats'!H45</f>
        <v>589.3424561980788</v>
      </c>
      <c r="I51" s="106">
        <f>'Inspect &amp; Adjust Beats'!H45</f>
        <v>589.3424561980788</v>
      </c>
    </row>
    <row r="52" spans="1:9" ht="12.75">
      <c r="A52" s="106">
        <f>'Inspect &amp; Adjust Beats'!H62</f>
        <v>852.6838314272693</v>
      </c>
      <c r="D52" s="110">
        <f>'Inspect &amp; Adjust Beats'!H29-('Inspect &amp; Adjust Beats'!H85)</f>
        <v>-852.4418894349645</v>
      </c>
      <c r="E52" s="106">
        <f>'Inspect &amp; Adjust Beats'!H29-('Inspect &amp; Adjust Beats'!H85)</f>
        <v>-852.4418894349645</v>
      </c>
      <c r="H52" s="109">
        <f>'Inspect &amp; Adjust Beats'!H46</f>
        <v>603.3890569808133</v>
      </c>
      <c r="I52" s="106">
        <f>'Inspect &amp; Adjust Beats'!H46</f>
        <v>603.3890569808133</v>
      </c>
    </row>
    <row r="53" spans="1:9" ht="12.75">
      <c r="A53" s="106">
        <f>'Inspect &amp; Adjust Beats'!H63</f>
        <v>867.759985183964</v>
      </c>
      <c r="D53" s="110">
        <f>'Inspect &amp; Adjust Beats'!H30-('Inspect &amp; Adjust Beats'!H85)</f>
        <v>-837.6391762122303</v>
      </c>
      <c r="E53" s="106">
        <f>'Inspect &amp; Adjust Beats'!H30-('Inspect &amp; Adjust Beats'!H85)</f>
        <v>-837.6391762122303</v>
      </c>
      <c r="H53" s="109">
        <f>'Inspect &amp; Adjust Beats'!H47</f>
        <v>619.6339996924913</v>
      </c>
      <c r="I53" s="106">
        <f>'Inspect &amp; Adjust Beats'!H47</f>
        <v>619.6339996924913</v>
      </c>
    </row>
    <row r="54" spans="1:9" ht="12.75">
      <c r="A54" s="106">
        <f>'Inspect &amp; Adjust Beats'!H64</f>
        <v>882.7059834714771</v>
      </c>
      <c r="D54" s="110">
        <f>'Inspect &amp; Adjust Beats'!H31-('Inspect &amp; Adjust Beats'!H85)</f>
        <v>-821.6338167676473</v>
      </c>
      <c r="E54" s="106">
        <f>'Inspect &amp; Adjust Beats'!H31-('Inspect &amp; Adjust Beats'!H85)</f>
        <v>-821.6338167676473</v>
      </c>
      <c r="F54" s="112" t="s">
        <v>476</v>
      </c>
      <c r="H54" s="110">
        <f>'Inspect &amp; Adjust Beats'!H48</f>
        <v>634.5833072203469</v>
      </c>
      <c r="I54" s="106">
        <f>'Inspect &amp; Adjust Beats'!H48</f>
        <v>634.5833072203469</v>
      </c>
    </row>
    <row r="55" spans="1:9" ht="12.75">
      <c r="A55" s="113">
        <f>'Inspect &amp; Adjust Beats'!H65</f>
        <v>897.5240543846511</v>
      </c>
      <c r="D55" s="109"/>
      <c r="E55" s="108">
        <f>'Inspect &amp; Adjust Beats'!H32-('Inspect &amp; Adjust Beats'!H85)</f>
        <v>-807.0911008293425</v>
      </c>
      <c r="F55" s="106">
        <f>'Inspect &amp; Adjust Beats'!H32-('Inspect &amp; Adjust Beats'!H85)</f>
        <v>-807.0911008293425</v>
      </c>
      <c r="H55" s="110">
        <f>'Inspect &amp; Adjust Beats'!H49</f>
        <v>649.4046309601929</v>
      </c>
      <c r="I55" s="106">
        <f>'Inspect &amp; Adjust Beats'!H49</f>
        <v>649.4046309601929</v>
      </c>
    </row>
    <row r="56" spans="1:9" ht="12.75">
      <c r="A56" s="106">
        <f>'Inspect &amp; Adjust Beats'!H66</f>
        <v>913.1914377751868</v>
      </c>
      <c r="D56" s="109"/>
      <c r="E56" s="106">
        <f>'Inspect &amp; Adjust Beats'!H33-('Inspect &amp; Adjust Beats'!H85)</f>
        <v>-791.3644154007084</v>
      </c>
      <c r="F56" s="106">
        <f>'Inspect &amp; Adjust Beats'!H33-('Inspect &amp; Adjust Beats'!H85)</f>
        <v>-791.3644154007084</v>
      </c>
      <c r="H56" s="110">
        <f>'Inspect &amp; Adjust Beats'!H50</f>
        <v>665.2254177489119</v>
      </c>
      <c r="I56" s="107">
        <f>'Inspect &amp; Adjust Beats'!H50</f>
        <v>665.2254177489119</v>
      </c>
    </row>
    <row r="57" spans="1:9" ht="12.75">
      <c r="A57" s="106">
        <f>'Inspect &amp; Adjust Beats'!H67</f>
        <v>927.7519445382131</v>
      </c>
      <c r="E57" s="106">
        <f>'Inspect &amp; Adjust Beats'!H34-('Inspect &amp; Adjust Beats'!H85)</f>
        <v>-777.072721075187</v>
      </c>
      <c r="F57" s="106">
        <f>'Inspect &amp; Adjust Beats'!H34-('Inspect &amp; Adjust Beats'!H85)</f>
        <v>-777.072721075187</v>
      </c>
      <c r="H57" s="110">
        <f>'Inspect &amp; Adjust Beats'!H51</f>
        <v>679.7878087796129</v>
      </c>
      <c r="I57" s="107">
        <f>'Inspect &amp; Adjust Beats'!H51</f>
        <v>679.7878087796129</v>
      </c>
    </row>
    <row r="58" spans="1:9" ht="12.75">
      <c r="A58" s="106">
        <f>'Inspect &amp; Adjust Beats'!H68</f>
        <v>944.1071530532848</v>
      </c>
      <c r="D58" s="110"/>
      <c r="E58" s="106">
        <f>'Inspect &amp; Adjust Beats'!H35-('Inspect &amp; Adjust Beats'!H85)</f>
        <v>-761.6151715191086</v>
      </c>
      <c r="F58" s="106">
        <f>'Inspect &amp; Adjust Beats'!H35-('Inspect &amp; Adjust Beats'!H85)</f>
        <v>-761.6151715191086</v>
      </c>
      <c r="I58" s="108">
        <f>'Inspect &amp; Adjust Beats'!H52</f>
        <v>701.9550008653873</v>
      </c>
    </row>
    <row r="59" spans="1:9" ht="12.75">
      <c r="A59" s="106">
        <f>'Inspect &amp; Adjust Beats'!H69</f>
        <v>959.3604151527497</v>
      </c>
      <c r="D59" s="110"/>
      <c r="E59" s="106">
        <f>'Inspect &amp; Adjust Beats'!H36-('Inspect &amp; Adjust Beats'!H85)</f>
        <v>-746.2944162304549</v>
      </c>
      <c r="F59" s="106">
        <f>'Inspect &amp; Adjust Beats'!H36-('Inspect &amp; Adjust Beats'!H85)</f>
        <v>-746.2944162304549</v>
      </c>
      <c r="I59" s="106">
        <f>'Inspect &amp; Adjust Beats'!H53</f>
        <v>717.3048649998337</v>
      </c>
    </row>
    <row r="60" spans="1:9" ht="12.75">
      <c r="A60" s="106">
        <f>'Inspect &amp; Adjust Beats'!H70</f>
        <v>973.539315449385</v>
      </c>
      <c r="B60" s="112" t="s">
        <v>517</v>
      </c>
      <c r="D60" s="110"/>
      <c r="E60" s="106">
        <f>'Inspect &amp; Adjust Beats'!H37-('Inspect &amp; Adjust Beats'!H85)</f>
        <v>-731.10805526322</v>
      </c>
      <c r="F60" s="106">
        <f>'Inspect &amp; Adjust Beats'!H37-('Inspect &amp; Adjust Beats'!H85)</f>
        <v>-731.10805526322</v>
      </c>
      <c r="I60" s="106">
        <f>'Inspect &amp; Adjust Beats'!H54</f>
        <v>732.5198258847294</v>
      </c>
    </row>
    <row r="61" spans="1:9" ht="12.75">
      <c r="A61" s="109">
        <f>'Inspect &amp; Adjust Beats'!H71</f>
        <v>988.5365639648585</v>
      </c>
      <c r="B61" s="107">
        <f>'Inspect &amp; Adjust Beats'!H71</f>
        <v>988.5365639648585</v>
      </c>
      <c r="E61" s="109">
        <f>'Inspect &amp; Adjust Beats'!H38-('Inspect &amp; Adjust Beats'!H85)</f>
        <v>-716.0537512802839</v>
      </c>
      <c r="F61" s="106">
        <f>'Inspect &amp; Adjust Beats'!H38-('Inspect &amp; Adjust Beats'!H85)</f>
        <v>-716.0537512802839</v>
      </c>
      <c r="I61" s="106">
        <f>'Inspect &amp; Adjust Beats'!H55</f>
        <v>747.6022340883961</v>
      </c>
    </row>
    <row r="62" spans="1:9" ht="12.75">
      <c r="A62" s="109">
        <f>'Inspect &amp; Adjust Beats'!H72</f>
        <v>1003.507817968792</v>
      </c>
      <c r="B62" s="107">
        <f>'Inspect &amp; Adjust Beats'!H72</f>
        <v>1003.507817968792</v>
      </c>
      <c r="E62" s="109">
        <f>'Inspect &amp; Adjust Beats'!H39-('Inspect &amp; Adjust Beats'!H85)</f>
        <v>-701.9550008653894</v>
      </c>
      <c r="F62" s="108">
        <f>'Inspect &amp; Adjust Beats'!H39-('Inspect &amp; Adjust Beats'!H85)</f>
        <v>-701.9550008653894</v>
      </c>
      <c r="I62" s="106">
        <f>'Inspect &amp; Adjust Beats'!H56</f>
        <v>762.554379274556</v>
      </c>
    </row>
    <row r="63" spans="1:10" ht="12.75">
      <c r="A63" s="109">
        <f>'Inspect &amp; Adjust Beats'!H73</f>
        <v>1019.064057389269</v>
      </c>
      <c r="B63" s="107">
        <f>'Inspect &amp; Adjust Beats'!H73</f>
        <v>1019.064057389269</v>
      </c>
      <c r="E63" s="109">
        <f>'Inspect &amp; Adjust Beats'!H40-('Inspect &amp; Adjust Beats'!H85)</f>
        <v>-686.332265101553</v>
      </c>
      <c r="F63" s="106">
        <f>'Inspect &amp; Adjust Beats'!H40-('Inspect &amp; Adjust Beats'!H85)</f>
        <v>-686.332265101553</v>
      </c>
      <c r="I63" s="106">
        <f>'Inspect &amp; Adjust Beats'!H57</f>
        <v>777.3784922884254</v>
      </c>
      <c r="J63" s="112" t="s">
        <v>499</v>
      </c>
    </row>
    <row r="64" spans="1:10" ht="12.75">
      <c r="A64" s="110">
        <f>'Inspect &amp; Adjust Beats'!H74</f>
        <v>1033.673714124592</v>
      </c>
      <c r="B64" s="107">
        <f>'Inspect &amp; Adjust Beats'!H74</f>
        <v>1033.673714124592</v>
      </c>
      <c r="E64" s="110">
        <f>'Inspect &amp; Adjust Beats'!H41-('Inspect &amp; Adjust Beats'!H85)</f>
        <v>-671.660702301642</v>
      </c>
      <c r="F64" s="106">
        <f>'Inspect &amp; Adjust Beats'!H41-('Inspect &amp; Adjust Beats'!H85)</f>
        <v>-671.660702301642</v>
      </c>
      <c r="I64" s="109">
        <f>'Inspect &amp; Adjust Beats'!H58</f>
        <v>792.0767471542501</v>
      </c>
      <c r="J64" s="106">
        <f>'Inspect &amp; Adjust Beats'!H58</f>
        <v>792.0767471542501</v>
      </c>
    </row>
    <row r="65" spans="1:10" ht="12.75">
      <c r="A65" s="110">
        <f>'Inspect &amp; Adjust Beats'!H75</f>
        <v>1049.0625625536925</v>
      </c>
      <c r="B65" s="107">
        <f>'Inspect &amp; Adjust Beats'!H75</f>
        <v>1049.0625625536925</v>
      </c>
      <c r="E65" s="110">
        <f>'Inspect &amp; Adjust Beats'!H42-('Inspect &amp; Adjust Beats'!H85)</f>
        <v>-655.9055759692801</v>
      </c>
      <c r="F65" s="106">
        <f>'Inspect &amp; Adjust Beats'!H42-('Inspect &amp; Adjust Beats'!H85)</f>
        <v>-655.9055759692801</v>
      </c>
      <c r="I65" s="109">
        <f>'Inspect &amp; Adjust Beats'!H59</f>
        <v>807.6876198284851</v>
      </c>
      <c r="J65" s="106">
        <f>'Inspect &amp; Adjust Beats'!H59</f>
        <v>807.6876198284851</v>
      </c>
    </row>
    <row r="66" spans="1:10" ht="12.75">
      <c r="A66" s="110">
        <f>'Inspect &amp; Adjust Beats'!H76</f>
        <v>1064.3158246531568</v>
      </c>
      <c r="B66" s="107">
        <f>'Inspect &amp; Adjust Beats'!H76</f>
        <v>1064.3158246531568</v>
      </c>
      <c r="E66" s="110">
        <f>'Inspect &amp; Adjust Beats'!H43-('Inspect &amp; Adjust Beats'!H85)</f>
        <v>-641.4885540068708</v>
      </c>
      <c r="F66" s="106">
        <f>'Inspect &amp; Adjust Beats'!H43-('Inspect &amp; Adjust Beats'!H85)</f>
        <v>-641.4885540068708</v>
      </c>
      <c r="I66" s="109">
        <f>'Inspect &amp; Adjust Beats'!H60</f>
        <v>822.1318494381247</v>
      </c>
      <c r="J66" s="106">
        <f>'Inspect &amp; Adjust Beats'!H60</f>
        <v>822.1318494381247</v>
      </c>
    </row>
    <row r="67" spans="1:10" ht="12.75">
      <c r="A67" s="110">
        <f>'Inspect &amp; Adjust Beats'!H77</f>
        <v>1079.4358687887172</v>
      </c>
      <c r="B67" s="107">
        <f>'Inspect &amp; Adjust Beats'!H77</f>
        <v>1079.4358687887172</v>
      </c>
      <c r="C67" s="112" t="s">
        <v>518</v>
      </c>
      <c r="E67" s="110">
        <f>'Inspect &amp; Adjust Beats'!H44-('Inspect &amp; Adjust Beats'!H85)</f>
        <v>-626.0044173240848</v>
      </c>
      <c r="F67" s="106">
        <f>'Inspect &amp; Adjust Beats'!H44-('Inspect &amp; Adjust Beats'!H85)</f>
        <v>-626.0044173240848</v>
      </c>
      <c r="G67" s="112" t="s">
        <v>478</v>
      </c>
      <c r="I67" s="110">
        <f>'Inspect &amp; Adjust Beats'!H61</f>
        <v>837.4752353851366</v>
      </c>
      <c r="J67" s="106">
        <f>'Inspect &amp; Adjust Beats'!H61</f>
        <v>837.4752353851366</v>
      </c>
    </row>
    <row r="68" spans="2:10" ht="12.75">
      <c r="B68" s="108">
        <f>'Inspect &amp; Adjust Beats'!H78</f>
        <v>1093.5468714072426</v>
      </c>
      <c r="C68" s="107">
        <f>'Inspect &amp; Adjust Beats'!H78</f>
        <v>1093.5468714072426</v>
      </c>
      <c r="E68" s="109"/>
      <c r="F68" s="109">
        <f>'Inspect &amp; Adjust Beats'!H45-('Inspect &amp; Adjust Beats'!H85)</f>
        <v>-610.6575438019212</v>
      </c>
      <c r="G68" s="106">
        <f>'Inspect &amp; Adjust Beats'!H45-('Inspect &amp; Adjust Beats'!H85)</f>
        <v>-610.6575438019212</v>
      </c>
      <c r="I68" s="110">
        <f>'Inspect &amp; Adjust Beats'!H62</f>
        <v>852.6838314272693</v>
      </c>
      <c r="J68" s="106">
        <f>'Inspect &amp; Adjust Beats'!H62</f>
        <v>852.6838314272693</v>
      </c>
    </row>
    <row r="69" spans="2:10" ht="12.75">
      <c r="B69" s="107">
        <f>'Inspect &amp; Adjust Beats'!H79</f>
        <v>1109.2854711555524</v>
      </c>
      <c r="C69" s="107">
        <f>'Inspect &amp; Adjust Beats'!H79</f>
        <v>1109.2854711555524</v>
      </c>
      <c r="E69" s="109"/>
      <c r="F69" s="109">
        <f>'Inspect &amp; Adjust Beats'!H46-('Inspect &amp; Adjust Beats'!H85)</f>
        <v>-596.6109430191867</v>
      </c>
      <c r="G69" s="106">
        <f>'Inspect &amp; Adjust Beats'!H46-('Inspect &amp; Adjust Beats'!H85)</f>
        <v>-596.6109430191867</v>
      </c>
      <c r="I69" s="110">
        <f>'Inspect &amp; Adjust Beats'!H63</f>
        <v>867.759985183964</v>
      </c>
      <c r="J69" s="106">
        <f>'Inspect &amp; Adjust Beats'!H63</f>
        <v>867.759985183964</v>
      </c>
    </row>
    <row r="70" spans="2:10" ht="12.75">
      <c r="B70" s="107">
        <f>'Inspect &amp; Adjust Beats'!H80</f>
        <v>1124.0194668896766</v>
      </c>
      <c r="C70" s="107">
        <f>'Inspect &amp; Adjust Beats'!H80</f>
        <v>1124.0194668896766</v>
      </c>
      <c r="F70" s="109">
        <f>'Inspect &amp; Adjust Beats'!H47-('Inspect &amp; Adjust Beats'!H85)</f>
        <v>-580.3660003075087</v>
      </c>
      <c r="G70" s="106">
        <f>'Inspect &amp; Adjust Beats'!H47-('Inspect &amp; Adjust Beats'!H85)</f>
        <v>-580.3660003075087</v>
      </c>
      <c r="I70" s="110">
        <f>'Inspect &amp; Adjust Beats'!H64</f>
        <v>882.7059834714771</v>
      </c>
      <c r="J70" s="106">
        <f>'Inspect &amp; Adjust Beats'!H64</f>
        <v>882.7059834714771</v>
      </c>
    </row>
    <row r="71" spans="2:10" ht="12.75">
      <c r="B71" s="107">
        <f>'Inspect &amp; Adjust Beats'!H81</f>
        <v>1139.484687788232</v>
      </c>
      <c r="C71" s="107">
        <f>'Inspect &amp; Adjust Beats'!H81</f>
        <v>1139.484687788232</v>
      </c>
      <c r="E71" s="110"/>
      <c r="F71" s="110">
        <f>'Inspect &amp; Adjust Beats'!H48-('Inspect &amp; Adjust Beats'!H85)</f>
        <v>-565.4166927796531</v>
      </c>
      <c r="G71" s="106">
        <f>'Inspect &amp; Adjust Beats'!H48-('Inspect &amp; Adjust Beats'!H85)</f>
        <v>-565.4166927796531</v>
      </c>
      <c r="J71" s="113">
        <f>'Inspect &amp; Adjust Beats'!H65</f>
        <v>897.5240543846511</v>
      </c>
    </row>
    <row r="72" spans="2:10" ht="12.75">
      <c r="B72" s="107">
        <f>'Inspect &amp; Adjust Beats'!H82</f>
        <v>1153.9649585943228</v>
      </c>
      <c r="C72" s="107">
        <f>'Inspect &amp; Adjust Beats'!H82</f>
        <v>1153.9649585943228</v>
      </c>
      <c r="E72" s="110"/>
      <c r="F72" s="110">
        <f>'Inspect &amp; Adjust Beats'!H49-('Inspect &amp; Adjust Beats'!H85)</f>
        <v>-550.5953690398071</v>
      </c>
      <c r="G72" s="106">
        <f>'Inspect &amp; Adjust Beats'!H49-('Inspect &amp; Adjust Beats'!H85)</f>
        <v>-550.5953690398071</v>
      </c>
      <c r="J72" s="106">
        <f>'Inspect &amp; Adjust Beats'!H66</f>
        <v>913.1914377751868</v>
      </c>
    </row>
    <row r="73" spans="2:10" ht="12.75">
      <c r="B73" s="107">
        <f>'Inspect &amp; Adjust Beats'!H83</f>
        <v>1169.1661357137648</v>
      </c>
      <c r="C73" s="107">
        <f>'Inspect &amp; Adjust Beats'!H83</f>
        <v>1169.1661357137648</v>
      </c>
      <c r="E73" s="110"/>
      <c r="F73" s="110">
        <f>'Inspect &amp; Adjust Beats'!H50-('Inspect &amp; Adjust Beats'!H85)</f>
        <v>-534.7745822510881</v>
      </c>
      <c r="G73" s="107">
        <f>'Inspect &amp; Adjust Beats'!H50-('Inspect &amp; Adjust Beats'!H85)</f>
        <v>-534.7745822510881</v>
      </c>
      <c r="J73" s="106">
        <f>'Inspect &amp; Adjust Beats'!H67</f>
        <v>927.7519445382131</v>
      </c>
    </row>
    <row r="74" spans="2:10" ht="12.75">
      <c r="B74" s="109">
        <f>'Inspect &amp; Adjust Beats'!H84</f>
        <v>1184.234999168637</v>
      </c>
      <c r="C74" s="107">
        <f>'Inspect &amp; Adjust Beats'!H84</f>
        <v>1184.234999168637</v>
      </c>
      <c r="E74" s="110"/>
      <c r="F74" s="110">
        <f>'Inspect &amp; Adjust Beats'!H51-('Inspect &amp; Adjust Beats'!H85)</f>
        <v>-520.2121912203871</v>
      </c>
      <c r="G74" s="107">
        <f>'Inspect &amp; Adjust Beats'!H51-('Inspect &amp; Adjust Beats'!H85)</f>
        <v>-520.2121912203871</v>
      </c>
      <c r="J74" s="106">
        <f>'Inspect &amp; Adjust Beats'!H68</f>
        <v>944.1071530532848</v>
      </c>
    </row>
    <row r="75" spans="2:10" ht="12.75">
      <c r="B75" s="109">
        <f>'Inspect &amp; Adjust Beats'!H85</f>
        <v>1200</v>
      </c>
      <c r="C75" s="108">
        <f>'Inspect &amp; Adjust Beats'!H85</f>
        <v>1200</v>
      </c>
      <c r="F75" s="109"/>
      <c r="G75" s="108">
        <f>'Inspect &amp; Adjust Beats'!H52-('Inspect &amp; Adjust Beats'!H85)</f>
        <v>-498.0449991346127</v>
      </c>
      <c r="J75" s="106">
        <f>'Inspect &amp; Adjust Beats'!H69</f>
        <v>959.3604151527497</v>
      </c>
    </row>
    <row r="76" spans="2:10" ht="12.75">
      <c r="B76" s="111">
        <f>'Inspect &amp; Adjust Beats'!H85+('Inspect &amp; Adjust Beats'!H7)</f>
        <v>1216.4410926918906</v>
      </c>
      <c r="C76" s="106">
        <f>'Inspect &amp; Adjust Beats'!H85+('Inspect &amp; Adjust Beats'!H7)</f>
        <v>1216.4410926918906</v>
      </c>
      <c r="F76" s="109"/>
      <c r="G76" s="106">
        <f>'Inspect &amp; Adjust Beats'!H53-('Inspect &amp; Adjust Beats'!H85)</f>
        <v>-482.69513500016626</v>
      </c>
      <c r="J76" s="107">
        <f>'Inspect &amp; Adjust Beats'!H70</f>
        <v>973.539315449385</v>
      </c>
    </row>
    <row r="77" spans="2:10" ht="12.75">
      <c r="B77" s="110">
        <f>'Inspect &amp; Adjust Beats'!H85+('Inspect &amp; Adjust Beats'!H8)</f>
        <v>1231.1057511443696</v>
      </c>
      <c r="C77" s="106">
        <f>'Inspect &amp; Adjust Beats'!H85+('Inspect &amp; Adjust Beats'!H8)</f>
        <v>1231.1057511443696</v>
      </c>
      <c r="G77" s="106">
        <f>'Inspect &amp; Adjust Beats'!H54-('Inspect &amp; Adjust Beats'!H85)</f>
        <v>-467.48017411527064</v>
      </c>
      <c r="J77" s="109">
        <f>'Inspect &amp; Adjust Beats'!H71</f>
        <v>988.5365639648585</v>
      </c>
    </row>
    <row r="78" spans="2:10" ht="12.75">
      <c r="B78" s="110">
        <f>'Inspect &amp; Adjust Beats'!H85+('Inspect &amp; Adjust Beats'!H9)</f>
        <v>1245.6472332230087</v>
      </c>
      <c r="C78" s="106">
        <f>'Inspect &amp; Adjust Beats'!H85+('Inspect &amp; Adjust Beats'!H9)</f>
        <v>1245.6472332230087</v>
      </c>
      <c r="F78" s="110"/>
      <c r="G78" s="106">
        <f>'Inspect &amp; Adjust Beats'!H55-('Inspect &amp; Adjust Beats'!H85)</f>
        <v>-452.39776591160387</v>
      </c>
      <c r="J78" s="109">
        <f>'Inspect &amp; Adjust Beats'!H72</f>
        <v>1003.507817968792</v>
      </c>
    </row>
    <row r="79" spans="2:10" ht="12.75">
      <c r="B79" s="110">
        <f>'Inspect &amp; Adjust Beats'!H85+('Inspect &amp; Adjust Beats'!H10)</f>
        <v>1260.0675909532695</v>
      </c>
      <c r="C79" s="106">
        <f>'Inspect &amp; Adjust Beats'!H85+('Inspect &amp; Adjust Beats'!H10)</f>
        <v>1260.0675909532695</v>
      </c>
      <c r="F79" s="110"/>
      <c r="G79" s="106">
        <f>'Inspect &amp; Adjust Beats'!H56-('Inspect &amp; Adjust Beats'!H85)</f>
        <v>-437.445620725444</v>
      </c>
      <c r="J79" s="109">
        <f>'Inspect &amp; Adjust Beats'!H73</f>
        <v>1019.064057389269</v>
      </c>
    </row>
    <row r="80" spans="2:10" ht="12.75">
      <c r="B80" s="110">
        <f>'Inspect &amp; Adjust Beats'!H85+('Inspect &amp; Adjust Beats'!H11)</f>
        <v>1275.9505835413024</v>
      </c>
      <c r="C80" s="106">
        <f>'Inspect &amp; Adjust Beats'!H85+('Inspect &amp; Adjust Beats'!H11)</f>
        <v>1275.9505835413024</v>
      </c>
      <c r="D80" s="112" t="s">
        <v>519</v>
      </c>
      <c r="F80" s="110"/>
      <c r="G80" s="106">
        <f>'Inspect &amp; Adjust Beats'!H57-('Inspect &amp; Adjust Beats'!H85)</f>
        <v>-422.6215077115746</v>
      </c>
      <c r="H80" s="112" t="s">
        <v>479</v>
      </c>
      <c r="J80" s="110">
        <f>'Inspect &amp; Adjust Beats'!H74</f>
        <v>1033.673714124592</v>
      </c>
    </row>
    <row r="81" spans="3:10" ht="12.75">
      <c r="C81" s="109">
        <f>'Inspect &amp; Adjust Beats'!H85+('Inspect &amp; Adjust Beats'!H12)</f>
        <v>1291.6891832896122</v>
      </c>
      <c r="D81" s="106">
        <f>'Inspect &amp; Adjust Beats'!H85+('Inspect &amp; Adjust Beats'!H12)</f>
        <v>1291.6891832896122</v>
      </c>
      <c r="G81" s="109">
        <f>'Inspect &amp; Adjust Beats'!H58-('Inspect &amp; Adjust Beats'!H85)</f>
        <v>-407.92325284574986</v>
      </c>
      <c r="H81" s="106">
        <f>'Inspect &amp; Adjust Beats'!H58-('Inspect &amp; Adjust Beats'!H85)</f>
        <v>-407.92325284574986</v>
      </c>
      <c r="J81" s="110">
        <f>'Inspect &amp; Adjust Beats'!H75</f>
        <v>1049.0625625536925</v>
      </c>
    </row>
    <row r="82" spans="3:10" ht="12.75">
      <c r="C82" s="109">
        <f>'Inspect &amp; Adjust Beats'!H85+('Inspect &amp; Adjust Beats'!H13)</f>
        <v>1305.7326189630976</v>
      </c>
      <c r="D82" s="106">
        <f>'Inspect &amp; Adjust Beats'!H85+('Inspect &amp; Adjust Beats'!H13)</f>
        <v>1305.7326189630976</v>
      </c>
      <c r="G82" s="109">
        <f>'Inspect &amp; Adjust Beats'!H59-('Inspect &amp; Adjust Beats'!H85)</f>
        <v>-392.31238017151486</v>
      </c>
      <c r="H82" s="106">
        <f>'Inspect &amp; Adjust Beats'!H59-('Inspect &amp; Adjust Beats'!H85)</f>
        <v>-392.31238017151486</v>
      </c>
      <c r="J82" s="110">
        <f>'Inspect &amp; Adjust Beats'!H76</f>
        <v>1064.3158246531568</v>
      </c>
    </row>
    <row r="83" spans="3:10" ht="12.75">
      <c r="C83" s="109">
        <f>'Inspect &amp; Adjust Beats'!H85+('Inspect &amp; Adjust Beats'!H14)</f>
        <v>1321.2039824201709</v>
      </c>
      <c r="D83" s="106">
        <f>'Inspect &amp; Adjust Beats'!H85+('Inspect &amp; Adjust Beats'!H14)</f>
        <v>1321.2039824201709</v>
      </c>
      <c r="G83" s="109">
        <f>'Inspect &amp; Adjust Beats'!H60-('Inspect &amp; Adjust Beats'!H85)</f>
        <v>-377.86815056187527</v>
      </c>
      <c r="H83" s="106">
        <f>'Inspect &amp; Adjust Beats'!H60-('Inspect &amp; Adjust Beats'!H85)</f>
        <v>-377.86815056187527</v>
      </c>
      <c r="J83" s="110">
        <f>'Inspect &amp; Adjust Beats'!H77</f>
        <v>1079.4358687887172</v>
      </c>
    </row>
    <row r="84" spans="3:8" ht="12.75">
      <c r="C84" s="110">
        <f>'Inspect &amp; Adjust Beats'!H85+('Inspect &amp; Adjust Beats'!H15)</f>
        <v>1336.5383080857341</v>
      </c>
      <c r="D84" s="106">
        <f>'Inspect &amp; Adjust Beats'!H85+('Inspect &amp; Adjust Beats'!H15)</f>
        <v>1336.5383080857341</v>
      </c>
      <c r="G84" s="110">
        <f>'Inspect &amp; Adjust Beats'!H61-('Inspect &amp; Adjust Beats'!H85)</f>
        <v>-362.52476461486344</v>
      </c>
      <c r="H84" s="106">
        <f>'Inspect &amp; Adjust Beats'!H61-('Inspect &amp; Adjust Beats'!H85)</f>
        <v>-362.52476461486344</v>
      </c>
    </row>
    <row r="85" spans="3:8" ht="12.75">
      <c r="C85" s="110">
        <f>'Inspect &amp; Adjust Beats'!H85+('Inspect &amp; Adjust Beats'!H16)</f>
        <v>1351.7380022891268</v>
      </c>
      <c r="D85" s="106">
        <f>'Inspect &amp; Adjust Beats'!H85+('Inspect &amp; Adjust Beats'!H16)</f>
        <v>1351.7380022891268</v>
      </c>
      <c r="G85" s="110">
        <f>'Inspect &amp; Adjust Beats'!H62-('Inspect &amp; Adjust Beats'!H85)</f>
        <v>-347.3161685727307</v>
      </c>
      <c r="H85" s="106">
        <f>'Inspect &amp; Adjust Beats'!H62-('Inspect &amp; Adjust Beats'!H85)</f>
        <v>-347.3161685727307</v>
      </c>
    </row>
    <row r="86" spans="3:8" ht="12.75">
      <c r="C86" s="110">
        <f>'Inspect &amp; Adjust Beats'!H85+('Inspect &amp; Adjust Beats'!H17)</f>
        <v>1366.8054085296385</v>
      </c>
      <c r="D86" s="106">
        <f>'Inspect &amp; Adjust Beats'!H85+('Inspect &amp; Adjust Beats'!H17)</f>
        <v>1366.8054085296385</v>
      </c>
      <c r="G86" s="110">
        <f>'Inspect &amp; Adjust Beats'!H63-('Inspect &amp; Adjust Beats'!H85)</f>
        <v>-332.240014816036</v>
      </c>
      <c r="H86" s="106">
        <f>'Inspect &amp; Adjust Beats'!H63-('Inspect &amp; Adjust Beats'!H85)</f>
        <v>-332.240014816036</v>
      </c>
    </row>
    <row r="87" spans="3:8" ht="12.75">
      <c r="C87" s="110">
        <f>'Inspect &amp; Adjust Beats'!H85+('Inspect &amp; Adjust Beats'!H18)</f>
        <v>1381.742809645</v>
      </c>
      <c r="D87" s="106">
        <f>'Inspect &amp; Adjust Beats'!H85+('Inspect &amp; Adjust Beats'!H18)</f>
        <v>1381.742809645</v>
      </c>
      <c r="G87" s="110">
        <f>'Inspect &amp; Adjust Beats'!H64-('Inspect &amp; Adjust Beats'!H85)</f>
        <v>-317.2940165285229</v>
      </c>
      <c r="H87" s="106">
        <f>'Inspect &amp; Adjust Beats'!H64-('Inspect &amp; Adjust Beats'!H85)</f>
        <v>-317.2940165285229</v>
      </c>
    </row>
    <row r="88" spans="4:8" ht="12.75">
      <c r="D88" s="108">
        <f>'Inspect &amp; Adjust Beats'!H85+('Inspect &amp; Adjust Beats'!H19)</f>
        <v>1396.5524298871221</v>
      </c>
      <c r="H88" s="108">
        <f>'Inspect &amp; Adjust Beats'!H65-('Inspect &amp; Adjust Beats'!H85)</f>
        <v>-302.4759456153489</v>
      </c>
    </row>
    <row r="89" spans="4:8" ht="12.75">
      <c r="D89" s="106">
        <f>'Inspect &amp; Adjust Beats'!H85+('Inspect &amp; Adjust Beats'!H20)</f>
        <v>1411.2364369097995</v>
      </c>
      <c r="H89" s="106">
        <f>'Inspect &amp; Adjust Beats'!H66-('Inspect &amp; Adjust Beats'!H85)</f>
        <v>-286.80856222481316</v>
      </c>
    </row>
    <row r="90" spans="4:8" ht="12.75">
      <c r="D90" s="106">
        <f>'Inspect &amp; Adjust Beats'!H85+('Inspect &amp; Adjust Beats'!H21)</f>
        <v>1427.2462815967929</v>
      </c>
      <c r="H90" s="106">
        <f>'Inspect &amp; Adjust Beats'!H67-('Inspect &amp; Adjust Beats'!H85)</f>
        <v>-272.24805546178686</v>
      </c>
    </row>
    <row r="91" spans="4:8" ht="12.75">
      <c r="D91" s="106">
        <f>'Inspect &amp; Adjust Beats'!H85+('Inspect &amp; Adjust Beats'!H22)</f>
        <v>1441.6733154958483</v>
      </c>
      <c r="H91" s="106">
        <f>'Inspect &amp; Adjust Beats'!H68-('Inspect &amp; Adjust Beats'!H85)</f>
        <v>-255.89284694671517</v>
      </c>
    </row>
    <row r="92" spans="4:8" ht="12.75">
      <c r="D92" s="106">
        <f>'Inspect &amp; Adjust Beats'!H85+('Inspect &amp; Adjust Beats'!H23)</f>
        <v>1457.4054142873622</v>
      </c>
      <c r="H92" s="106">
        <f>'Inspect &amp; Adjust Beats'!H69-('Inspect &amp; Adjust Beats'!H85)</f>
        <v>-240.63958484725026</v>
      </c>
    </row>
    <row r="93" spans="1:9" ht="12.75">
      <c r="A93" s="112" t="s">
        <v>527</v>
      </c>
      <c r="D93" s="106">
        <f>'Inspect &amp; Adjust Beats'!H85+('Inspect &amp; Adjust Beats'!H24)</f>
        <v>1471.5843145839974</v>
      </c>
      <c r="E93" s="112" t="s">
        <v>520</v>
      </c>
      <c r="H93" s="106">
        <f>'Inspect &amp; Adjust Beats'!H70-('Inspect &amp; Adjust Beats'!H85)</f>
        <v>-226.46068455061504</v>
      </c>
      <c r="I93" s="112" t="s">
        <v>480</v>
      </c>
    </row>
    <row r="94" spans="1:9" ht="12.75">
      <c r="A94" s="106">
        <f>'Inspect &amp; Adjust Beats'!H85+('Inspect &amp; Adjust Beats'!H58)</f>
        <v>1992.0767471542501</v>
      </c>
      <c r="D94" s="109">
        <f>'Inspect &amp; Adjust Beats'!H85+('Inspect &amp; Adjust Beats'!H25)</f>
        <v>1487.0481401267034</v>
      </c>
      <c r="E94" s="106">
        <f>'Inspect &amp; Adjust Beats'!H85+('Inspect &amp; Adjust Beats'!H25)</f>
        <v>1487.0481401267034</v>
      </c>
      <c r="H94" s="109">
        <f>'Inspect &amp; Adjust Beats'!H71-('Inspect &amp; Adjust Beats'!H85)</f>
        <v>-211.4634360351415</v>
      </c>
      <c r="I94" s="106">
        <f>'Inspect &amp; Adjust Beats'!H71-('Inspect &amp; Adjust Beats'!H85)</f>
        <v>-211.4634360351415</v>
      </c>
    </row>
    <row r="95" spans="1:9" ht="12.75">
      <c r="A95" s="176">
        <f>(('Inspect &amp; Adjust Beats'!H85+('Inspect &amp; Adjust Beats'!H65))-('Inspect &amp; Adjust Beats'!H85+('Inspect &amp; Adjust Beats'!H58)))/6+A94</f>
        <v>2009.651298359317</v>
      </c>
      <c r="D95" s="109">
        <f>'Inspect &amp; Adjust Beats'!H85+('Inspect &amp; Adjust Beats'!H26)</f>
        <v>1502.3750607897578</v>
      </c>
      <c r="E95" s="106">
        <f>'Inspect &amp; Adjust Beats'!H85+('Inspect &amp; Adjust Beats'!H26)</f>
        <v>1502.3750607897578</v>
      </c>
      <c r="H95" s="109">
        <f>'Inspect &amp; Adjust Beats'!H72-('Inspect &amp; Adjust Beats'!H85)</f>
        <v>-196.49218203120802</v>
      </c>
      <c r="I95" s="106">
        <f>'Inspect &amp; Adjust Beats'!H72-('Inspect &amp; Adjust Beats'!H85)</f>
        <v>-196.49218203120802</v>
      </c>
    </row>
    <row r="96" spans="1:9" ht="12.75">
      <c r="A96" s="176">
        <f>(('Inspect &amp; Adjust Beats'!H85+('Inspect &amp; Adjust Beats'!H65))-('Inspect &amp; Adjust Beats'!H85+('Inspect &amp; Adjust Beats'!H58)))/6+A95</f>
        <v>2027.225849564384</v>
      </c>
      <c r="D96" s="109">
        <f>'Inspect &amp; Adjust Beats'!H85+('Inspect &amp; Adjust Beats'!H27)</f>
        <v>1517.5674794178794</v>
      </c>
      <c r="E96" s="106">
        <f>'Inspect &amp; Adjust Beats'!H85+('Inspect &amp; Adjust Beats'!H27)</f>
        <v>1517.5674794178794</v>
      </c>
      <c r="H96" s="109">
        <f>'Inspect &amp; Adjust Beats'!H73-('Inspect &amp; Adjust Beats'!H85)</f>
        <v>-180.935942610731</v>
      </c>
      <c r="I96" s="106">
        <f>'Inspect &amp; Adjust Beats'!H73-('Inspect &amp; Adjust Beats'!H85)</f>
        <v>-180.935942610731</v>
      </c>
    </row>
    <row r="97" spans="1:9" ht="12.75">
      <c r="A97" s="176">
        <f>(('Inspect &amp; Adjust Beats'!H85+('Inspect &amp; Adjust Beats'!H65))-('Inspect &amp; Adjust Beats'!H85+('Inspect &amp; Adjust Beats'!H58)))/6+A96</f>
        <v>2044.8004007694508</v>
      </c>
      <c r="D97" s="110">
        <f>'Inspect &amp; Adjust Beats'!H85+('Inspect &amp; Adjust Beats'!H28)</f>
        <v>1532.6277361464936</v>
      </c>
      <c r="E97" s="106">
        <f>'Inspect &amp; Adjust Beats'!H85+('Inspect &amp; Adjust Beats'!H28)</f>
        <v>1532.6277361464936</v>
      </c>
      <c r="H97" s="110">
        <f>'Inspect &amp; Adjust Beats'!H74-('Inspect &amp; Adjust Beats'!H85)</f>
        <v>-166.32628587540808</v>
      </c>
      <c r="I97" s="106">
        <f>'Inspect &amp; Adjust Beats'!H74-('Inspect &amp; Adjust Beats'!H85)</f>
        <v>-166.32628587540808</v>
      </c>
    </row>
    <row r="98" spans="1:9" ht="12.75">
      <c r="A98" s="177" t="s">
        <v>525</v>
      </c>
      <c r="D98" s="110">
        <f>'Inspect &amp; Adjust Beats'!H85+('Inspect &amp; Adjust Beats'!H29)</f>
        <v>1547.5581105650353</v>
      </c>
      <c r="E98" s="106">
        <f>'Inspect &amp; Adjust Beats'!H85+('Inspect &amp; Adjust Beats'!H29)</f>
        <v>1547.5581105650353</v>
      </c>
      <c r="H98" s="110">
        <f>'Inspect &amp; Adjust Beats'!H75-('Inspect &amp; Adjust Beats'!H85)</f>
        <v>-150.9374374463075</v>
      </c>
      <c r="I98" s="106">
        <f>'Inspect &amp; Adjust Beats'!H75-('Inspect &amp; Adjust Beats'!H85)</f>
        <v>-150.9374374463075</v>
      </c>
    </row>
    <row r="99" spans="1:9" ht="12.75">
      <c r="A99" s="176">
        <f>(('Inspect &amp; Adjust Beats'!H85+('Inspect &amp; Adjust Beats'!H65))-('Inspect &amp; Adjust Beats'!H85+('Inspect &amp; Adjust Beats'!H58)))/6+A97</f>
        <v>2062.3749519745174</v>
      </c>
      <c r="D99" s="110">
        <f>'Inspect &amp; Adjust Beats'!H85+('Inspect &amp; Adjust Beats'!H30)</f>
        <v>1562.3608237877697</v>
      </c>
      <c r="E99" s="106">
        <f>'Inspect &amp; Adjust Beats'!H85+('Inspect &amp; Adjust Beats'!H30)</f>
        <v>1562.3608237877697</v>
      </c>
      <c r="H99" s="110">
        <f>'Inspect &amp; Adjust Beats'!H76-('Inspect &amp; Adjust Beats'!H85)</f>
        <v>-135.68417534684318</v>
      </c>
      <c r="I99" s="106">
        <f>'Inspect &amp; Adjust Beats'!H76-('Inspect &amp; Adjust Beats'!H85)</f>
        <v>-135.68417534684318</v>
      </c>
    </row>
    <row r="100" spans="1:10" ht="12.75">
      <c r="A100" s="176">
        <f>(('Inspect &amp; Adjust Beats'!H85+('Inspect &amp; Adjust Beats'!H65))-('Inspect &amp; Adjust Beats'!H85+('Inspect &amp; Adjust Beats'!H58)))/6+A99</f>
        <v>2079.949503179584</v>
      </c>
      <c r="D100" s="110">
        <f>'Inspect &amp; Adjust Beats'!H85+('Inspect &amp; Adjust Beats'!H31)</f>
        <v>1578.3661832323528</v>
      </c>
      <c r="E100" s="106">
        <f>'Inspect &amp; Adjust Beats'!H85+('Inspect &amp; Adjust Beats'!H31)</f>
        <v>1578.3661832323528</v>
      </c>
      <c r="F100" s="112" t="s">
        <v>524</v>
      </c>
      <c r="H100" s="110">
        <f>'Inspect &amp; Adjust Beats'!H77-('Inspect &amp; Adjust Beats'!H85)</f>
        <v>-120.56413121128276</v>
      </c>
      <c r="I100" s="106">
        <f>'Inspect &amp; Adjust Beats'!H77-('Inspect &amp; Adjust Beats'!H85)</f>
        <v>-120.56413121128276</v>
      </c>
      <c r="J100" s="112" t="s">
        <v>481</v>
      </c>
    </row>
    <row r="101" spans="1:10" ht="12.75">
      <c r="A101" s="178">
        <f>'Inspect &amp; Adjust Beats'!H85+('Inspect &amp; Adjust Beats'!H65)</f>
        <v>2097.524054384651</v>
      </c>
      <c r="E101" s="108">
        <f>'Inspect &amp; Adjust Beats'!H85+('Inspect &amp; Adjust Beats'!H32)</f>
        <v>1592.9088991706576</v>
      </c>
      <c r="F101" s="106">
        <f>'Inspect &amp; Adjust Beats'!H85+('Inspect &amp; Adjust Beats'!H32)</f>
        <v>1592.9088991706576</v>
      </c>
      <c r="I101" s="108">
        <f>'Inspect &amp; Adjust Beats'!H78-('Inspect &amp; Adjust Beats'!H85)</f>
        <v>-106.45312859275737</v>
      </c>
      <c r="J101" s="107">
        <f>'Inspect &amp; Adjust Beats'!H78-('Inspect &amp; Adjust Beats'!H85)</f>
        <v>-106.45312859275737</v>
      </c>
    </row>
    <row r="102" spans="1:10" ht="12.75">
      <c r="A102" s="176">
        <f>(('Inspect &amp; Adjust Beats'!H85+('Inspect &amp; Adjust Beats'!H73))-('Inspect &amp; Adjust Beats'!H85+('Inspect &amp; Adjust Beats'!H65)))/7+A101</f>
        <v>2114.8869119567394</v>
      </c>
      <c r="E102" s="106">
        <f>'Inspect &amp; Adjust Beats'!H85+('Inspect &amp; Adjust Beats'!H33)</f>
        <v>1608.6355845992916</v>
      </c>
      <c r="F102" s="147">
        <f>(('Inspect &amp; Adjust Beats'!H85+('Inspect &amp; Adjust Beats'!H39))-('Inspect &amp; Adjust Beats'!H85+('Inspect &amp; Adjust Beats'!H32)))/6+F101</f>
        <v>1610.431582497983</v>
      </c>
      <c r="I102" s="106">
        <f>'Inspect &amp; Adjust Beats'!H79-('Inspect &amp; Adjust Beats'!H85)</f>
        <v>-90.71452884444761</v>
      </c>
      <c r="J102" s="106">
        <f>'Inspect &amp; Adjust Beats'!H79-('Inspect &amp; Adjust Beats'!H85)</f>
        <v>-90.71452884444761</v>
      </c>
    </row>
    <row r="103" spans="1:10" ht="12.75">
      <c r="A103" s="176">
        <f>(('Inspect &amp; Adjust Beats'!H85+('Inspect &amp; Adjust Beats'!H73))-('Inspect &amp; Adjust Beats'!H85+('Inspect &amp; Adjust Beats'!H65)))/7+A102</f>
        <v>2132.2497695288275</v>
      </c>
      <c r="E103" s="106">
        <f>'Inspect &amp; Adjust Beats'!H85+('Inspect &amp; Adjust Beats'!H34)</f>
        <v>1622.927278924813</v>
      </c>
      <c r="F103" s="148">
        <f>(('Inspect &amp; Adjust Beats'!H85+('Inspect &amp; Adjust Beats'!H39))-('Inspect &amp; Adjust Beats'!H85+('Inspect &amp; Adjust Beats'!H32)))/6+F102</f>
        <v>1627.9542658253085</v>
      </c>
      <c r="I103" s="106">
        <f>'Inspect &amp; Adjust Beats'!H80-('Inspect &amp; Adjust Beats'!H85)</f>
        <v>-75.98053311032345</v>
      </c>
      <c r="J103" s="106">
        <f>'Inspect &amp; Adjust Beats'!H80-('Inspect &amp; Adjust Beats'!H85)</f>
        <v>-75.98053311032345</v>
      </c>
    </row>
    <row r="104" spans="1:10" ht="12.75">
      <c r="A104" s="176">
        <f>(('Inspect &amp; Adjust Beats'!H85+('Inspect &amp; Adjust Beats'!H73))-('Inspect &amp; Adjust Beats'!H85+('Inspect &amp; Adjust Beats'!H65)))/7+A103</f>
        <v>2149.6126271009157</v>
      </c>
      <c r="E104" s="106">
        <f>'Inspect &amp; Adjust Beats'!H85+('Inspect &amp; Adjust Beats'!H35)</f>
        <v>1638.3848284808914</v>
      </c>
      <c r="F104" s="148">
        <f>(('Inspect &amp; Adjust Beats'!H85+('Inspect &amp; Adjust Beats'!H39))-('Inspect &amp; Adjust Beats'!H85+('Inspect &amp; Adjust Beats'!H32)))/6+F103</f>
        <v>1645.476949152634</v>
      </c>
      <c r="I104" s="106">
        <f>'Inspect &amp; Adjust Beats'!H81-('Inspect &amp; Adjust Beats'!H85)</f>
        <v>-60.515312211768105</v>
      </c>
      <c r="J104" s="106">
        <f>'Inspect &amp; Adjust Beats'!H81-('Inspect &amp; Adjust Beats'!H85)</f>
        <v>-60.515312211768105</v>
      </c>
    </row>
    <row r="105" spans="1:10" ht="12.75">
      <c r="A105" s="177" t="s">
        <v>525</v>
      </c>
      <c r="E105" s="106">
        <f>'Inspect &amp; Adjust Beats'!H85+('Inspect &amp; Adjust Beats'!H36)</f>
        <v>1653.7055837695452</v>
      </c>
      <c r="F105" s="149" t="s">
        <v>525</v>
      </c>
      <c r="I105" s="106">
        <f>'Inspect &amp; Adjust Beats'!H82-('Inspect &amp; Adjust Beats'!H85)</f>
        <v>-46.03504140567725</v>
      </c>
      <c r="J105" s="106">
        <f>'Inspect &amp; Adjust Beats'!H82-('Inspect &amp; Adjust Beats'!H85)</f>
        <v>-46.03504140567725</v>
      </c>
    </row>
    <row r="106" spans="1:10" ht="12.75">
      <c r="A106" s="176">
        <f>(('Inspect &amp; Adjust Beats'!H85+('Inspect &amp; Adjust Beats'!H73))-('Inspect &amp; Adjust Beats'!H85+('Inspect &amp; Adjust Beats'!H65)))/7+A104</f>
        <v>2166.975484673004</v>
      </c>
      <c r="B106" s="112" t="s">
        <v>530</v>
      </c>
      <c r="E106" s="106">
        <f>'Inspect &amp; Adjust Beats'!H85+('Inspect &amp; Adjust Beats'!H37)</f>
        <v>1668.89194473678</v>
      </c>
      <c r="F106" s="148">
        <f>(('Inspect &amp; Adjust Beats'!H85+('Inspect &amp; Adjust Beats'!H39))-('Inspect &amp; Adjust Beats'!H85+('Inspect &amp; Adjust Beats'!H32)))/6+F104</f>
        <v>1662.9996324799595</v>
      </c>
      <c r="I106" s="106">
        <f>'Inspect &amp; Adjust Beats'!H83-('Inspect &amp; Adjust Beats'!H85)</f>
        <v>-30.83386428623521</v>
      </c>
      <c r="J106" s="106">
        <f>'Inspect &amp; Adjust Beats'!H83-('Inspect &amp; Adjust Beats'!H85)</f>
        <v>-30.83386428623521</v>
      </c>
    </row>
    <row r="107" spans="1:10" ht="12.75">
      <c r="A107" s="176">
        <f>(('Inspect &amp; Adjust Beats'!H85+('Inspect &amp; Adjust Beats'!H73))-('Inspect &amp; Adjust Beats'!H85+('Inspect &amp; Adjust Beats'!H65)))/7+A106</f>
        <v>2184.338342245092</v>
      </c>
      <c r="B107" s="107">
        <f>'Inspect &amp; Adjust Beats'!H85+('Inspect &amp; Adjust Beats'!H71)</f>
        <v>2188.5365639648585</v>
      </c>
      <c r="E107" s="109">
        <f>'Inspect &amp; Adjust Beats'!H85+('Inspect &amp; Adjust Beats'!H38)</f>
        <v>1683.946248719716</v>
      </c>
      <c r="F107" s="150">
        <f>(('Inspect &amp; Adjust Beats'!H85+('Inspect &amp; Adjust Beats'!H39))-('Inspect &amp; Adjust Beats'!H85+('Inspect &amp; Adjust Beats'!H32)))/6+F106</f>
        <v>1680.522315807285</v>
      </c>
      <c r="I107" s="109">
        <f>'Inspect &amp; Adjust Beats'!H84-('Inspect &amp; Adjust Beats'!H85)</f>
        <v>-15.765000831363068</v>
      </c>
      <c r="J107" s="106">
        <f>'Inspect &amp; Adjust Beats'!H84-('Inspect &amp; Adjust Beats'!H85)</f>
        <v>-15.765000831363068</v>
      </c>
    </row>
    <row r="108" spans="1:10" ht="12.75">
      <c r="A108" s="179">
        <f>(('Inspect &amp; Adjust Beats'!H85+('Inspect &amp; Adjust Beats'!H73))-('Inspect &amp; Adjust Beats'!H85+('Inspect &amp; Adjust Beats'!H65)))/7+A107</f>
        <v>2201.70119981718</v>
      </c>
      <c r="B108" s="173">
        <f>(('Inspect &amp; Adjust Beats'!H85+('Inspect &amp; Adjust Beats'!H78))-('Inspect &amp; Adjust Beats'!H85+('Inspect &amp; Adjust Beats'!H71)))/5+B107</f>
        <v>2209.5386254533355</v>
      </c>
      <c r="E108" s="109">
        <f>'Inspect &amp; Adjust Beats'!H85+('Inspect &amp; Adjust Beats'!H39)</f>
        <v>1698.0449991346106</v>
      </c>
      <c r="F108" s="146">
        <f>'Inspect &amp; Adjust Beats'!H85+('Inspect &amp; Adjust Beats'!H39)</f>
        <v>1698.0449991346106</v>
      </c>
      <c r="I108" s="109">
        <f>'Inspect &amp; Adjust Beats'!H6</f>
        <v>0</v>
      </c>
      <c r="J108" s="113">
        <f>'Inspect &amp; Adjust Beats'!H6</f>
        <v>0</v>
      </c>
    </row>
    <row r="109" spans="1:10" ht="12.75">
      <c r="A109" s="179">
        <f>'Inspect &amp; Adjust Beats'!H85+('Inspect &amp; Adjust Beats'!H73)</f>
        <v>2219.064057389269</v>
      </c>
      <c r="B109" s="159" t="s">
        <v>525</v>
      </c>
      <c r="E109" s="109">
        <f>'Inspect &amp; Adjust Beats'!H85+('Inspect &amp; Adjust Beats'!H40)</f>
        <v>1713.667734898447</v>
      </c>
      <c r="F109" s="151">
        <f>(('Inspect &amp; Adjust Beats'!H85+('Inspect &amp; Adjust Beats'!H47))-('Inspect &amp; Adjust Beats'!H85+('Inspect &amp; Adjust Beats'!H39)))/7+F108</f>
        <v>1715.414856357165</v>
      </c>
      <c r="I109" s="109">
        <f>'Inspect &amp; Adjust Beats'!H7</f>
        <v>16.44109269189054</v>
      </c>
      <c r="J109" s="106">
        <f>'Inspect &amp; Adjust Beats'!H7</f>
        <v>16.44109269189054</v>
      </c>
    </row>
    <row r="110" spans="1:10" ht="12.75">
      <c r="A110" s="180">
        <f>(('Inspect &amp; Adjust Beats'!H85+('Inspect &amp; Adjust Beats'!H77))-('Inspect &amp; Adjust Beats'!H85+('Inspect &amp; Adjust Beats'!H73)))/3+A109</f>
        <v>2239.187994522418</v>
      </c>
      <c r="B110" s="158">
        <f>(('Inspect &amp; Adjust Beats'!H85+('Inspect &amp; Adjust Beats'!H78))-('Inspect &amp; Adjust Beats'!H85+('Inspect &amp; Adjust Beats'!H71)))/5+B108</f>
        <v>2230.5406869418125</v>
      </c>
      <c r="E110" s="110">
        <f>'Inspect &amp; Adjust Beats'!H85+('Inspect &amp; Adjust Beats'!H41)</f>
        <v>1728.339297698358</v>
      </c>
      <c r="F110" s="152">
        <f>(('Inspect &amp; Adjust Beats'!H85+('Inspect &amp; Adjust Beats'!H47))-('Inspect &amp; Adjust Beats'!H85+('Inspect &amp; Adjust Beats'!H39)))/7+F109</f>
        <v>1732.7847135797194</v>
      </c>
      <c r="I110" s="110">
        <f>'Inspect &amp; Adjust Beats'!H8</f>
        <v>31.105751144369663</v>
      </c>
      <c r="J110" s="106">
        <f>'Inspect &amp; Adjust Beats'!H8</f>
        <v>31.105751144369663</v>
      </c>
    </row>
    <row r="111" spans="1:10" ht="12.75">
      <c r="A111" s="181" t="s">
        <v>525</v>
      </c>
      <c r="B111" s="159" t="s">
        <v>525</v>
      </c>
      <c r="E111" s="110">
        <f>'Inspect &amp; Adjust Beats'!H85+('Inspect &amp; Adjust Beats'!H42)</f>
        <v>1744.09442403072</v>
      </c>
      <c r="F111" s="152">
        <f>(('Inspect &amp; Adjust Beats'!H85+('Inspect &amp; Adjust Beats'!H47))-('Inspect &amp; Adjust Beats'!H85+('Inspect &amp; Adjust Beats'!H39)))/7+F110</f>
        <v>1750.1545708022738</v>
      </c>
      <c r="I111" s="110">
        <f>'Inspect &amp; Adjust Beats'!H9</f>
        <v>45.647233223008804</v>
      </c>
      <c r="J111" s="106">
        <f>'Inspect &amp; Adjust Beats'!H9</f>
        <v>45.647233223008804</v>
      </c>
    </row>
    <row r="112" spans="1:10" ht="12.75">
      <c r="A112" s="180">
        <f>(('Inspect &amp; Adjust Beats'!H85+('Inspect &amp; Adjust Beats'!H77))-('Inspect &amp; Adjust Beats'!H85+('Inspect &amp; Adjust Beats'!H73)))/3+A110</f>
        <v>2259.3119316555676</v>
      </c>
      <c r="B112" s="171">
        <f>(('Inspect &amp; Adjust Beats'!H85+('Inspect &amp; Adjust Beats'!H78))-('Inspect &amp; Adjust Beats'!H85+('Inspect &amp; Adjust Beats'!H71)))/5+B110</f>
        <v>2251.5427484302895</v>
      </c>
      <c r="E112" s="110">
        <f>'Inspect &amp; Adjust Beats'!H85+('Inspect &amp; Adjust Beats'!H43)</f>
        <v>1758.5114459931292</v>
      </c>
      <c r="F112" s="153" t="s">
        <v>525</v>
      </c>
      <c r="I112" s="110">
        <f>'Inspect &amp; Adjust Beats'!H10</f>
        <v>60.067590953269544</v>
      </c>
      <c r="J112" s="106">
        <f>'Inspect &amp; Adjust Beats'!H10</f>
        <v>60.067590953269544</v>
      </c>
    </row>
    <row r="113" spans="1:10" ht="12.75">
      <c r="A113" s="180">
        <f>'Inspect &amp; Adjust Beats'!H85+('Inspect &amp; Adjust Beats'!H77)</f>
        <v>2279.435868788717</v>
      </c>
      <c r="B113" s="174">
        <f>(('Inspect &amp; Adjust Beats'!H85+('Inspect &amp; Adjust Beats'!H78))-('Inspect &amp; Adjust Beats'!H85+('Inspect &amp; Adjust Beats'!H71)))/5+B112</f>
        <v>2272.5448099187665</v>
      </c>
      <c r="C113" s="112" t="s">
        <v>536</v>
      </c>
      <c r="E113" s="110">
        <f>'Inspect &amp; Adjust Beats'!H85+('Inspect &amp; Adjust Beats'!H44)</f>
        <v>1773.995582675915</v>
      </c>
      <c r="F113" s="162">
        <f>(('Inspect &amp; Adjust Beats'!H85+('Inspect &amp; Adjust Beats'!H47))-('Inspect &amp; Adjust Beats'!H85+('Inspect &amp; Adjust Beats'!H39)))/7+F111</f>
        <v>1767.5244280248282</v>
      </c>
      <c r="G113" s="112" t="s">
        <v>526</v>
      </c>
      <c r="I113" s="110">
        <f>'Inspect &amp; Adjust Beats'!H11</f>
        <v>75.95058354130245</v>
      </c>
      <c r="J113" s="106">
        <f>'Inspect &amp; Adjust Beats'!H11</f>
        <v>75.95058354130245</v>
      </c>
    </row>
    <row r="114" spans="2:10" ht="12.75">
      <c r="B114" s="108">
        <f>'Inspect &amp; Adjust Beats'!H85+('Inspect &amp; Adjust Beats'!H78)</f>
        <v>2293.5468714072426</v>
      </c>
      <c r="C114" s="107">
        <f>'Inspect &amp; Adjust Beats'!H85+('Inspect &amp; Adjust Beats'!H78)</f>
        <v>2293.5468714072426</v>
      </c>
      <c r="F114" s="152">
        <f>(('Inspect &amp; Adjust Beats'!H85+('Inspect &amp; Adjust Beats'!H47))-('Inspect &amp; Adjust Beats'!H85+('Inspect &amp; Adjust Beats'!H39)))/7+F113</f>
        <v>1784.8942852473826</v>
      </c>
      <c r="G114" s="106">
        <f>'Inspect &amp; Adjust Beats'!H85+('Inspect &amp; Adjust Beats'!H45)</f>
        <v>1789.3424561980787</v>
      </c>
      <c r="J114" s="109">
        <f>'Inspect &amp; Adjust Beats'!H12</f>
        <v>91.68918328961222</v>
      </c>
    </row>
    <row r="115" spans="2:10" ht="12.75">
      <c r="B115" s="163">
        <f>((('Inspect &amp; Adjust Beats'!H85*2)+('Inspect &amp; Adjust Beats'!H7))-('Inspect &amp; Adjust Beats'!H85+('Inspect &amp; Adjust Beats'!H78)))/6+B114</f>
        <v>2314.0292416213506</v>
      </c>
      <c r="C115" s="173">
        <f>(('Inspect &amp; Adjust Beats'!H85*2)-('Inspect &amp; Adjust Beats'!H85+('Inspect &amp; Adjust Beats'!H78)))/5+C114</f>
        <v>2314.837497125794</v>
      </c>
      <c r="F115" s="154">
        <f>(('Inspect &amp; Adjust Beats'!H85+('Inspect &amp; Adjust Beats'!H47))-('Inspect &amp; Adjust Beats'!H85+('Inspect &amp; Adjust Beats'!H39)))/7+F114</f>
        <v>1802.264142469937</v>
      </c>
      <c r="G115" s="147">
        <f>(('Inspect &amp; Adjust Beats'!H85+('Inspect &amp; Adjust Beats'!H52))-('Inspect &amp; Adjust Beats'!H85+('Inspect &amp; Adjust Beats'!H45)))/6+G114</f>
        <v>1808.1112136426302</v>
      </c>
      <c r="J115" s="109">
        <f>'Inspect &amp; Adjust Beats'!H13</f>
        <v>105.7326189630977</v>
      </c>
    </row>
    <row r="116" spans="2:10" ht="12.75">
      <c r="B116" s="165" t="s">
        <v>525</v>
      </c>
      <c r="C116" s="159" t="s">
        <v>525</v>
      </c>
      <c r="F116" s="109">
        <f>'Inspect &amp; Adjust Beats'!H85+('Inspect &amp; Adjust Beats'!H47)</f>
        <v>1819.6339996924912</v>
      </c>
      <c r="G116" s="158">
        <f>(('Inspect &amp; Adjust Beats'!H85+('Inspect &amp; Adjust Beats'!H52))-('Inspect &amp; Adjust Beats'!H85+('Inspect &amp; Adjust Beats'!H45)))/6+G115</f>
        <v>1826.8799710871817</v>
      </c>
      <c r="J116" s="109">
        <f>'Inspect &amp; Adjust Beats'!H14</f>
        <v>121.2039824201709</v>
      </c>
    </row>
    <row r="117" spans="2:10" ht="12.75">
      <c r="B117" s="164">
        <f>((('Inspect &amp; Adjust Beats'!H85*2)+('Inspect &amp; Adjust Beats'!H7))-('Inspect &amp; Adjust Beats'!H85+('Inspect &amp; Adjust Beats'!H78)))/6+B115</f>
        <v>2334.5116118354586</v>
      </c>
      <c r="C117" s="158">
        <f>(('Inspect &amp; Adjust Beats'!H85*2)-('Inspect &amp; Adjust Beats'!H85+('Inspect &amp; Adjust Beats'!H78)))/5+C115</f>
        <v>2336.1281228443454</v>
      </c>
      <c r="F117" s="155">
        <f>(('Inspect &amp; Adjust Beats'!H85+('Inspect &amp; Adjust Beats'!H51))-('Inspect &amp; Adjust Beats'!H85+('Inspect &amp; Adjust Beats'!H47)))/3+F116</f>
        <v>1839.6852693881985</v>
      </c>
      <c r="G117" s="158">
        <f>(('Inspect &amp; Adjust Beats'!H85+('Inspect &amp; Adjust Beats'!H52))-('Inspect &amp; Adjust Beats'!H85+('Inspect &amp; Adjust Beats'!H45)))/6+G116</f>
        <v>1845.6487285317332</v>
      </c>
      <c r="J117" s="110">
        <f>'Inspect &amp; Adjust Beats'!H15</f>
        <v>136.53830808573417</v>
      </c>
    </row>
    <row r="118" spans="2:10" ht="12.75">
      <c r="B118" s="165" t="s">
        <v>525</v>
      </c>
      <c r="C118" s="159" t="s">
        <v>525</v>
      </c>
      <c r="F118" s="156" t="s">
        <v>525</v>
      </c>
      <c r="G118" s="159" t="s">
        <v>525</v>
      </c>
      <c r="J118" s="110">
        <f>'Inspect &amp; Adjust Beats'!H16</f>
        <v>151.73800228912688</v>
      </c>
    </row>
    <row r="119" spans="2:10" ht="12.75">
      <c r="B119" s="164">
        <f>((('Inspect &amp; Adjust Beats'!H85*2)+('Inspect &amp; Adjust Beats'!H7))-('Inspect &amp; Adjust Beats'!H85+('Inspect &amp; Adjust Beats'!H78)))/6+B117</f>
        <v>2354.9939820495665</v>
      </c>
      <c r="C119" s="171">
        <f>(('Inspect &amp; Adjust Beats'!H85*2)-('Inspect &amp; Adjust Beats'!H85+('Inspect &amp; Adjust Beats'!H78)))/5+C117</f>
        <v>2357.418748562897</v>
      </c>
      <c r="F119" s="157">
        <f>(('Inspect &amp; Adjust Beats'!H85+('Inspect &amp; Adjust Beats'!H51))-('Inspect &amp; Adjust Beats'!H85+('Inspect &amp; Adjust Beats'!H47)))/3+F117</f>
        <v>1859.7365390839059</v>
      </c>
      <c r="G119" s="160">
        <f>(('Inspect &amp; Adjust Beats'!H85+('Inspect &amp; Adjust Beats'!H52))-('Inspect &amp; Adjust Beats'!H85+('Inspect &amp; Adjust Beats'!H45)))/6+G117</f>
        <v>1864.4174859762848</v>
      </c>
      <c r="J119" s="110">
        <f>'Inspect &amp; Adjust Beats'!H17</f>
        <v>166.8054085296385</v>
      </c>
    </row>
    <row r="120" spans="2:10" ht="12.75">
      <c r="B120" s="164">
        <f>((('Inspect &amp; Adjust Beats'!H85*2)+('Inspect &amp; Adjust Beats'!H7))-('Inspect &amp; Adjust Beats'!H85+('Inspect &amp; Adjust Beats'!H78)))/6+B119</f>
        <v>2375.4763522636745</v>
      </c>
      <c r="C120" s="174">
        <f>(('Inspect &amp; Adjust Beats'!H85*2)-('Inspect &amp; Adjust Beats'!H85+('Inspect &amp; Adjust Beats'!H78)))/5+C119</f>
        <v>2378.709374281448</v>
      </c>
      <c r="F120" s="110">
        <f>'Inspect &amp; Adjust Beats'!H85+('Inspect &amp; Adjust Beats'!H51)</f>
        <v>1879.787808779613</v>
      </c>
      <c r="G120" s="161">
        <f>(('Inspect &amp; Adjust Beats'!H85+('Inspect &amp; Adjust Beats'!H52))-('Inspect &amp; Adjust Beats'!H85+('Inspect &amp; Adjust Beats'!H45)))/6+G119</f>
        <v>1883.1862434208363</v>
      </c>
      <c r="J120" s="110">
        <f>'Inspect &amp; Adjust Beats'!H18</f>
        <v>181.74280964500016</v>
      </c>
    </row>
    <row r="121" spans="2:7" ht="12.75">
      <c r="B121" s="182">
        <f>((('Inspect &amp; Adjust Beats'!H85*2)+('Inspect &amp; Adjust Beats'!H7))-('Inspect &amp; Adjust Beats'!H85+('Inspect &amp; Adjust Beats'!H78)))/6+B120</f>
        <v>2395.9587224777824</v>
      </c>
      <c r="C121" s="108">
        <f>'Inspect &amp; Adjust Beats'!H85*2</f>
        <v>2400</v>
      </c>
      <c r="G121" s="108">
        <f>'Inspect &amp; Adjust Beats'!H85+('Inspect &amp; Adjust Beats'!H52)</f>
        <v>1901.9550008653873</v>
      </c>
    </row>
    <row r="122" spans="2:7" ht="12.75">
      <c r="B122" s="111">
        <f>('Inspect &amp; Adjust Beats'!H85*2)+('Inspect &amp; Adjust Beats'!H7)</f>
        <v>2416.4410926918904</v>
      </c>
      <c r="C122" s="163">
        <f>((('Inspect &amp; Adjust Beats'!H85*2)+('Inspect &amp; Adjust Beats'!H14))-(('Inspect &amp; Adjust Beats'!H85)*2))/6+C121</f>
        <v>2420.2006637366953</v>
      </c>
      <c r="G122" s="163">
        <f>(('Inspect &amp; Adjust Beats'!H85+('Inspect &amp; Adjust Beats'!H60))-('Inspect &amp; Adjust Beats'!H85+('Inspect &amp; Adjust Beats'!H52)))/7+G121</f>
        <v>1919.123122090064</v>
      </c>
    </row>
    <row r="123" spans="2:7" ht="12.75">
      <c r="B123" s="183" t="s">
        <v>525</v>
      </c>
      <c r="C123" s="165" t="s">
        <v>525</v>
      </c>
      <c r="G123" s="164">
        <f>(('Inspect &amp; Adjust Beats'!H85+('Inspect &amp; Adjust Beats'!H60))-('Inspect &amp; Adjust Beats'!H85+('Inspect &amp; Adjust Beats'!H52)))/7+G122</f>
        <v>1936.2912433147408</v>
      </c>
    </row>
    <row r="124" spans="2:7" ht="12.75">
      <c r="B124" s="184">
        <f>((('Inspect &amp; Adjust Beats'!H85*2)+('Inspect &amp; Adjust Beats'!H11))-(('Inspect &amp; Adjust Beats'!H85*2)+('Inspect &amp; Adjust Beats'!H7)))/2+B122</f>
        <v>2446.1958381165964</v>
      </c>
      <c r="C124" s="164">
        <f>((('Inspect &amp; Adjust Beats'!H85*2)+('Inspect &amp; Adjust Beats'!H14))-(('Inspect &amp; Adjust Beats'!H85)*2))/6+C122</f>
        <v>2440.4013274733907</v>
      </c>
      <c r="G124" s="164">
        <f>(('Inspect &amp; Adjust Beats'!H85+('Inspect &amp; Adjust Beats'!H60))-('Inspect &amp; Adjust Beats'!H85+('Inspect &amp; Adjust Beats'!H52)))/7+G123</f>
        <v>1953.4593645394175</v>
      </c>
    </row>
    <row r="125" spans="2:7" ht="12.75">
      <c r="B125" s="185" t="s">
        <v>525</v>
      </c>
      <c r="C125" s="186">
        <f>((('Inspect &amp; Adjust Beats'!H85*2)+('Inspect &amp; Adjust Beats'!H14))-(('Inspect &amp; Adjust Beats'!H85)*2))/6+C124</f>
        <v>2460.601991210086</v>
      </c>
      <c r="G125" s="165" t="s">
        <v>525</v>
      </c>
    </row>
    <row r="126" spans="2:8" ht="12.75">
      <c r="B126" s="110">
        <f>('Inspect &amp; Adjust Beats'!H85*2)+('Inspect &amp; Adjust Beats'!H11)</f>
        <v>2475.9505835413024</v>
      </c>
      <c r="C126" s="164">
        <f>((('Inspect &amp; Adjust Beats'!H85*2)+('Inspect &amp; Adjust Beats'!H14))-(('Inspect &amp; Adjust Beats'!H85)*2))/6+C125</f>
        <v>2480.8026549467813</v>
      </c>
      <c r="D126" s="112" t="s">
        <v>537</v>
      </c>
      <c r="G126" s="164">
        <f>(('Inspect &amp; Adjust Beats'!H85+('Inspect &amp; Adjust Beats'!H60))-('Inspect &amp; Adjust Beats'!H85+('Inspect &amp; Adjust Beats'!H52)))/7+G124</f>
        <v>1970.6274857640942</v>
      </c>
      <c r="H126" s="112" t="s">
        <v>527</v>
      </c>
    </row>
    <row r="127" spans="1:8" ht="12.75">
      <c r="A127" s="404"/>
      <c r="B127" s="405"/>
      <c r="C127" s="165" t="s">
        <v>525</v>
      </c>
      <c r="D127" s="106">
        <f>('Inspect &amp; Adjust Beats'!H85*2)+('Inspect &amp; Adjust Beats'!H12)</f>
        <v>2491.689183289612</v>
      </c>
      <c r="G127" s="164">
        <f>(('Inspect &amp; Adjust Beats'!H85+('Inspect &amp; Adjust Beats'!H60))-('Inspect &amp; Adjust Beats'!H85+('Inspect &amp; Adjust Beats'!H52)))/7+G126</f>
        <v>1987.795606988771</v>
      </c>
      <c r="H127" s="106">
        <f>'Inspect &amp; Adjust Beats'!H85+('Inspect &amp; Adjust Beats'!H58)</f>
        <v>1992.0767471542501</v>
      </c>
    </row>
    <row r="128" spans="1:8" ht="12.75">
      <c r="A128" s="404"/>
      <c r="B128" s="405"/>
      <c r="C128" s="182">
        <f>((('Inspect &amp; Adjust Beats'!H85*2)+('Inspect &amp; Adjust Beats'!H14))-(('Inspect &amp; Adjust Beats'!H85)*2))/6+C126</f>
        <v>2501.0033186834767</v>
      </c>
      <c r="D128" s="173">
        <f>((('Inspect &amp; Adjust Beats'!H85*2)+('Inspect &amp; Adjust Beats'!H19))-(('Inspect &amp; Adjust Beats'!H85*2)+('Inspect &amp; Adjust Beats'!H12)))/5+D127</f>
        <v>2512.6618326091143</v>
      </c>
      <c r="G128" s="166">
        <f>(('Inspect &amp; Adjust Beats'!H85+('Inspect &amp; Adjust Beats'!H60))-('Inspect &amp; Adjust Beats'!H85+('Inspect &amp; Adjust Beats'!H52)))/7+G127</f>
        <v>2004.9637282134477</v>
      </c>
      <c r="H128" s="168">
        <f>(('Inspect &amp; Adjust Beats'!H85+('Inspect &amp; Adjust Beats'!H65))-('Inspect &amp; Adjust Beats'!H85+('Inspect &amp; Adjust Beats'!H58)))/6+H127</f>
        <v>2009.651298359317</v>
      </c>
    </row>
    <row r="129" spans="1:10" ht="12.75">
      <c r="A129" s="407" t="s">
        <v>548</v>
      </c>
      <c r="B129" s="407"/>
      <c r="C129" s="109">
        <f>('Inspect &amp; Adjust Beats'!H85*2)+('Inspect &amp; Adjust Beats'!H14)</f>
        <v>2521.203982420171</v>
      </c>
      <c r="D129" s="159" t="s">
        <v>525</v>
      </c>
      <c r="G129" s="109">
        <f>'Inspect &amp; Adjust Beats'!H85+('Inspect &amp; Adjust Beats'!H60)</f>
        <v>2022.1318494381248</v>
      </c>
      <c r="H129" s="158">
        <f>(('Inspect &amp; Adjust Beats'!H85+('Inspect &amp; Adjust Beats'!H65))-('Inspect &amp; Adjust Beats'!H85+('Inspect &amp; Adjust Beats'!H58)))/6+H128</f>
        <v>2027.225849564384</v>
      </c>
      <c r="J129" s="106" t="s">
        <v>528</v>
      </c>
    </row>
    <row r="130" spans="1:10" ht="12.75">
      <c r="A130" s="407" t="s">
        <v>549</v>
      </c>
      <c r="B130" s="386"/>
      <c r="C130" s="183" t="s">
        <v>525</v>
      </c>
      <c r="D130" s="158">
        <f>((('Inspect &amp; Adjust Beats'!H85*2)+('Inspect &amp; Adjust Beats'!H19))-(('Inspect &amp; Adjust Beats'!H85*2)+('Inspect &amp; Adjust Beats'!H12)))/5+D128</f>
        <v>2533.6344819286164</v>
      </c>
      <c r="G130" s="155">
        <f>(('Inspect &amp; Adjust Beats'!H85+('Inspect &amp; Adjust Beats'!H64))-('Inspect &amp; Adjust Beats'!H85+('Inspect &amp; Adjust Beats'!H60)))/3+G129</f>
        <v>2042.3232274492423</v>
      </c>
      <c r="H130" s="158">
        <f>(('Inspect &amp; Adjust Beats'!H85+('Inspect &amp; Adjust Beats'!H65))-('Inspect &amp; Adjust Beats'!H85+('Inspect &amp; Adjust Beats'!H58)))/6+H129</f>
        <v>2044.8004007694508</v>
      </c>
      <c r="J130" s="106" t="s">
        <v>531</v>
      </c>
    </row>
    <row r="131" spans="1:8" ht="12.75">
      <c r="A131" s="407"/>
      <c r="B131" s="386"/>
      <c r="C131" s="184">
        <f>((('Inspect &amp; Adjust Beats'!H85*2)+('Inspect &amp; Adjust Beats'!H18))-(('Inspect &amp; Adjust Beats'!H85*2)+('Inspect &amp; Adjust Beats'!H14)))/2+C129</f>
        <v>2551.4733960325857</v>
      </c>
      <c r="D131" s="172">
        <f>((('Inspect &amp; Adjust Beats'!H85*2)+('Inspect &amp; Adjust Beats'!H19))-(('Inspect &amp; Adjust Beats'!H85*2)+('Inspect &amp; Adjust Beats'!H12)))/5+D130</f>
        <v>2554.6071312481185</v>
      </c>
      <c r="G131" s="156" t="s">
        <v>525</v>
      </c>
      <c r="H131" s="159" t="s">
        <v>525</v>
      </c>
    </row>
    <row r="132" spans="1:10" ht="12.75">
      <c r="A132" s="387" t="s">
        <v>550</v>
      </c>
      <c r="B132" s="408"/>
      <c r="C132" s="185" t="s">
        <v>525</v>
      </c>
      <c r="D132" s="159" t="s">
        <v>525</v>
      </c>
      <c r="G132" s="167">
        <f>(('Inspect &amp; Adjust Beats'!H85+('Inspect &amp; Adjust Beats'!H64))-('Inspect &amp; Adjust Beats'!H85+('Inspect &amp; Adjust Beats'!H60)))/3+G130</f>
        <v>2062.5146054603597</v>
      </c>
      <c r="H132" s="158">
        <f>(('Inspect &amp; Adjust Beats'!H85+('Inspect &amp; Adjust Beats'!H65))-('Inspect &amp; Adjust Beats'!H85+('Inspect &amp; Adjust Beats'!H58)))/6+H130</f>
        <v>2062.3749519745174</v>
      </c>
      <c r="J132" s="175" t="s">
        <v>539</v>
      </c>
    </row>
    <row r="133" spans="1:8" ht="12.75">
      <c r="A133" s="407"/>
      <c r="B133" s="407"/>
      <c r="C133" s="110">
        <f>('Inspect &amp; Adjust Beats'!H85*2)+('Inspect &amp; Adjust Beats'!H18)</f>
        <v>2581.7428096450003</v>
      </c>
      <c r="D133" s="174">
        <f>((('Inspect &amp; Adjust Beats'!H85*2)+('Inspect &amp; Adjust Beats'!H19))-(('Inspect &amp; Adjust Beats'!H85*2)+('Inspect &amp; Adjust Beats'!H12)))/5+D131</f>
        <v>2575.5797805676207</v>
      </c>
      <c r="G133" s="110">
        <f>'Inspect &amp; Adjust Beats'!H85+('Inspect &amp; Adjust Beats'!H64)</f>
        <v>2082.7059834714773</v>
      </c>
      <c r="H133" s="169">
        <f>(('Inspect &amp; Adjust Beats'!H85+('Inspect &amp; Adjust Beats'!H65))-('Inspect &amp; Adjust Beats'!H85+('Inspect &amp; Adjust Beats'!H58)))/6+H132</f>
        <v>2079.949503179584</v>
      </c>
    </row>
    <row r="134" spans="1:10" ht="12.75">
      <c r="A134" s="407" t="s">
        <v>551</v>
      </c>
      <c r="B134" s="407"/>
      <c r="C134" s="283"/>
      <c r="D134" s="108">
        <f>('Inspect &amp; Adjust Beats'!H85*2)+('Inspect &amp; Adjust Beats'!H19)</f>
        <v>2596.5524298871223</v>
      </c>
      <c r="H134" s="108">
        <f>'Inspect &amp; Adjust Beats'!H85+('Inspect &amp; Adjust Beats'!H65)</f>
        <v>2097.524054384651</v>
      </c>
      <c r="J134" s="106" t="s">
        <v>541</v>
      </c>
    </row>
    <row r="135" spans="1:10" ht="12.75">
      <c r="A135" s="407" t="s">
        <v>552</v>
      </c>
      <c r="B135" s="407"/>
      <c r="C135" s="284"/>
      <c r="D135" s="163">
        <f>((('Inspect &amp; Adjust Beats'!H85*2)+('Inspect &amp; Adjust Beats'!H27))-(('Inspect &amp; Adjust Beats'!H85*2)+('Inspect &amp; Adjust Beats'!H19)))/6+D134</f>
        <v>2616.7216048089153</v>
      </c>
      <c r="H135" s="163">
        <f>(('Inspect &amp; Adjust Beats'!H85+('Inspect &amp; Adjust Beats'!H73))-('Inspect &amp; Adjust Beats'!H85+('Inspect &amp; Adjust Beats'!H65)))/7+H134</f>
        <v>2114.8869119567394</v>
      </c>
      <c r="J135" s="106" t="s">
        <v>529</v>
      </c>
    </row>
    <row r="136" spans="1:10" ht="12.75">
      <c r="A136" s="407" t="s">
        <v>553</v>
      </c>
      <c r="B136" s="407"/>
      <c r="C136" s="284"/>
      <c r="D136" s="165" t="s">
        <v>525</v>
      </c>
      <c r="H136" s="164">
        <f>(('Inspect &amp; Adjust Beats'!H85+('Inspect &amp; Adjust Beats'!H73))-('Inspect &amp; Adjust Beats'!H85+('Inspect &amp; Adjust Beats'!H65)))/7+H135</f>
        <v>2132.2497695288275</v>
      </c>
      <c r="J136" s="106" t="s">
        <v>532</v>
      </c>
    </row>
    <row r="137" spans="1:10" ht="12.75">
      <c r="A137" s="407" t="s">
        <v>554</v>
      </c>
      <c r="B137" s="407"/>
      <c r="C137" s="284"/>
      <c r="D137" s="164">
        <f>((('Inspect &amp; Adjust Beats'!H85*2)+('Inspect &amp; Adjust Beats'!H27))-(('Inspect &amp; Adjust Beats'!H85*2)+('Inspect &amp; Adjust Beats'!H19)))/6+D135</f>
        <v>2636.8907797307083</v>
      </c>
      <c r="H137" s="164">
        <f>(('Inspect &amp; Adjust Beats'!H85+('Inspect &amp; Adjust Beats'!H73))-('Inspect &amp; Adjust Beats'!H85+('Inspect &amp; Adjust Beats'!H65)))/7+H136</f>
        <v>2149.6126271009157</v>
      </c>
      <c r="J137" s="106" t="s">
        <v>533</v>
      </c>
    </row>
    <row r="138" spans="1:8" ht="12.75">
      <c r="A138" s="404"/>
      <c r="B138" s="404"/>
      <c r="C138" s="284"/>
      <c r="D138" s="186">
        <f>((('Inspect &amp; Adjust Beats'!H85*2)+('Inspect &amp; Adjust Beats'!H27))-(('Inspect &amp; Adjust Beats'!H85*2)+('Inspect &amp; Adjust Beats'!H19)))/6+D137</f>
        <v>2657.0599546525013</v>
      </c>
      <c r="H138" s="165" t="s">
        <v>525</v>
      </c>
    </row>
    <row r="139" spans="1:10" ht="12.75">
      <c r="A139" s="407" t="s">
        <v>555</v>
      </c>
      <c r="B139" s="407"/>
      <c r="C139" s="284"/>
      <c r="D139" s="164">
        <f>((('Inspect &amp; Adjust Beats'!H85*2)+('Inspect &amp; Adjust Beats'!H27))-(('Inspect &amp; Adjust Beats'!H85*2)+('Inspect &amp; Adjust Beats'!H19)))/6+D138</f>
        <v>2677.2291295742943</v>
      </c>
      <c r="E139" s="112" t="s">
        <v>547</v>
      </c>
      <c r="H139" s="164">
        <f>(('Inspect &amp; Adjust Beats'!H85+('Inspect &amp; Adjust Beats'!H73))-('Inspect &amp; Adjust Beats'!H85+('Inspect &amp; Adjust Beats'!H65)))/7+H137</f>
        <v>2166.975484673004</v>
      </c>
      <c r="J139" s="106" t="s">
        <v>534</v>
      </c>
    </row>
    <row r="140" spans="1:10" ht="12.75">
      <c r="A140" s="407" t="s">
        <v>556</v>
      </c>
      <c r="B140" s="407"/>
      <c r="C140" s="284"/>
      <c r="D140" s="165" t="s">
        <v>525</v>
      </c>
      <c r="E140" s="106">
        <f>('Inspect &amp; Adjust Beats'!H85*2)+('Inspect &amp; Adjust Beats'!H25)</f>
        <v>2687.0481401267034</v>
      </c>
      <c r="H140" s="164">
        <f>(('Inspect &amp; Adjust Beats'!H85+('Inspect &amp; Adjust Beats'!H73))-('Inspect &amp; Adjust Beats'!H85+('Inspect &amp; Adjust Beats'!H65)))/7+H139</f>
        <v>2184.338342245092</v>
      </c>
      <c r="J140" s="106" t="s">
        <v>540</v>
      </c>
    </row>
    <row r="141" spans="1:10" ht="12.75">
      <c r="A141" s="407" t="s">
        <v>557</v>
      </c>
      <c r="B141" s="407"/>
      <c r="D141" s="182">
        <f>((('Inspect &amp; Adjust Beats'!H85*2)+('Inspect &amp; Adjust Beats'!H27))-(('Inspect &amp; Adjust Beats'!H85*2)+('Inspect &amp; Adjust Beats'!H19)))/6+D139</f>
        <v>2697.3983044960873</v>
      </c>
      <c r="E141" s="189" t="s">
        <v>525</v>
      </c>
      <c r="H141" s="166">
        <f>(('Inspect &amp; Adjust Beats'!H85+('Inspect &amp; Adjust Beats'!H73))-('Inspect &amp; Adjust Beats'!H85+('Inspect &amp; Adjust Beats'!H65)))/7+H140</f>
        <v>2201.70119981718</v>
      </c>
      <c r="J141" s="106" t="s">
        <v>535</v>
      </c>
    </row>
    <row r="142" spans="1:10" ht="12.75">
      <c r="A142" s="407" t="s">
        <v>558</v>
      </c>
      <c r="B142" s="407"/>
      <c r="D142" s="109">
        <f>('Inspect &amp; Adjust Beats'!H85*2)+('Inspect &amp; Adjust Beats'!H27)</f>
        <v>2717.5674794178794</v>
      </c>
      <c r="E142" s="192">
        <f>((('Inspect &amp; Adjust Beats'!H85*2)+('Inspect &amp; Adjust Beats'!H32))-(('Inspect &amp; Adjust Beats'!H85*2)+('Inspect &amp; Adjust Beats'!H25)))/4+E140</f>
        <v>2713.5133298876917</v>
      </c>
      <c r="H142" s="109">
        <f>'Inspect &amp; Adjust Beats'!H85+('Inspect &amp; Adjust Beats'!H73)</f>
        <v>2219.064057389269</v>
      </c>
      <c r="J142" s="106" t="s">
        <v>543</v>
      </c>
    </row>
    <row r="143" spans="1:10" ht="12.75">
      <c r="A143" s="407" t="s">
        <v>559</v>
      </c>
      <c r="B143" s="407"/>
      <c r="D143" s="183" t="s">
        <v>525</v>
      </c>
      <c r="E143" s="189" t="s">
        <v>525</v>
      </c>
      <c r="H143" s="155">
        <f>(('Inspect &amp; Adjust Beats'!H85+('Inspect &amp; Adjust Beats'!H77))-('Inspect &amp; Adjust Beats'!H85+('Inspect &amp; Adjust Beats'!H73)))/3+H142</f>
        <v>2239.187994522418</v>
      </c>
      <c r="J143" s="106" t="s">
        <v>544</v>
      </c>
    </row>
    <row r="144" spans="1:10" ht="12.75">
      <c r="A144" s="407" t="s">
        <v>560</v>
      </c>
      <c r="B144" s="407"/>
      <c r="D144" s="184">
        <f>((('Inspect &amp; Adjust Beats'!H85*2)+('Inspect &amp; Adjust Beats'!H31))-(('Inspect &amp; Adjust Beats'!H85*2)+('Inspect &amp; Adjust Beats'!H27)))/2+D142</f>
        <v>2747.966831325116</v>
      </c>
      <c r="E144" s="190">
        <f>((('Inspect &amp; Adjust Beats'!H85*2)+('Inspect &amp; Adjust Beats'!H32))-(('Inspect &amp; Adjust Beats'!H85*2)+('Inspect &amp; Adjust Beats'!H25)))/4+E142</f>
        <v>2739.97851964868</v>
      </c>
      <c r="H144" s="156" t="s">
        <v>525</v>
      </c>
      <c r="J144" s="106" t="s">
        <v>542</v>
      </c>
    </row>
    <row r="145" spans="1:8" ht="12.75">
      <c r="A145" s="404"/>
      <c r="B145" s="404"/>
      <c r="D145" s="185" t="s">
        <v>525</v>
      </c>
      <c r="E145" s="191">
        <f>((('Inspect &amp; Adjust Beats'!H85*2)+('Inspect &amp; Adjust Beats'!H32))-(('Inspect &amp; Adjust Beats'!H85*2)+('Inspect &amp; Adjust Beats'!H25)))/4+E144</f>
        <v>2766.4437094096684</v>
      </c>
      <c r="H145" s="167">
        <f>(('Inspect &amp; Adjust Beats'!H85+('Inspect &amp; Adjust Beats'!H77))-('Inspect &amp; Adjust Beats'!H85+('Inspect &amp; Adjust Beats'!H73)))/3+H143</f>
        <v>2259.3119316555676</v>
      </c>
    </row>
    <row r="146" spans="1:8" ht="12.75">
      <c r="A146" s="404"/>
      <c r="B146" s="404"/>
      <c r="D146" s="110">
        <f>('Inspect &amp; Adjust Beats'!H85*2)+('Inspect &amp; Adjust Beats'!H31)</f>
        <v>2778.366183232353</v>
      </c>
      <c r="E146" s="177" t="s">
        <v>525</v>
      </c>
      <c r="H146" s="110">
        <f>'Inspect &amp; Adjust Beats'!H85+('Inspect &amp; Adjust Beats'!H77)</f>
        <v>2279.435868788717</v>
      </c>
    </row>
    <row r="147" spans="5:8" ht="12.75">
      <c r="E147" s="178">
        <f>('Inspect &amp; Adjust Beats'!H85*2)+('Inspect &amp; Adjust Beats'!H32)</f>
        <v>2792.9088991706576</v>
      </c>
      <c r="F147" s="404"/>
      <c r="G147" s="404"/>
      <c r="H147" s="404"/>
    </row>
    <row r="148" spans="5:8" ht="12.75">
      <c r="E148" s="176">
        <f>((('Inspect &amp; Adjust Beats'!H85*2)+('Inspect &amp; Adjust Beats'!H40))-(('Inspect &amp; Adjust Beats'!H85*2)+('Inspect &amp; Adjust Beats'!H32)))/5+E147</f>
        <v>2817.0606663162152</v>
      </c>
      <c r="F148" s="404"/>
      <c r="G148" s="404"/>
      <c r="H148" s="404"/>
    </row>
    <row r="149" spans="5:8" ht="12.75">
      <c r="E149" s="177" t="s">
        <v>525</v>
      </c>
      <c r="F149" s="404"/>
      <c r="G149" s="404"/>
      <c r="H149" s="404"/>
    </row>
    <row r="150" spans="5:8" ht="12.75">
      <c r="E150" s="176">
        <f>((('Inspect &amp; Adjust Beats'!H85*2)+('Inspect &amp; Adjust Beats'!H40))-(('Inspect &amp; Adjust Beats'!H85*2)+('Inspect &amp; Adjust Beats'!H32)))/5+E148</f>
        <v>2841.212433461773</v>
      </c>
      <c r="F150" s="404"/>
      <c r="G150" s="404"/>
      <c r="H150" s="404"/>
    </row>
    <row r="151" spans="5:8" ht="12.75">
      <c r="E151" s="177" t="s">
        <v>525</v>
      </c>
      <c r="F151" s="404" t="s">
        <v>564</v>
      </c>
      <c r="G151" s="404"/>
      <c r="H151" s="404"/>
    </row>
    <row r="152" spans="5:8" ht="12.75">
      <c r="E152" s="176">
        <f>((('Inspect &amp; Adjust Beats'!H85*2)+('Inspect &amp; Adjust Beats'!H40))-(('Inspect &amp; Adjust Beats'!H85*2)+('Inspect &amp; Adjust Beats'!H32)))/5+E150</f>
        <v>2865.3642006073305</v>
      </c>
      <c r="F152" s="404"/>
      <c r="G152" s="404"/>
      <c r="H152" s="404"/>
    </row>
    <row r="153" spans="2:8" ht="12.75">
      <c r="B153" s="175"/>
      <c r="E153" s="177" t="s">
        <v>525</v>
      </c>
      <c r="F153" s="406" t="s">
        <v>561</v>
      </c>
      <c r="G153" s="406"/>
      <c r="H153" s="406"/>
    </row>
    <row r="154" spans="5:8" ht="12.75">
      <c r="E154" s="188">
        <f>((('Inspect &amp; Adjust Beats'!H85*2)+('Inspect &amp; Adjust Beats'!H40))-(('Inspect &amp; Adjust Beats'!H85*2)+('Inspect &amp; Adjust Beats'!H32)))/5+E152</f>
        <v>2889.515967752888</v>
      </c>
      <c r="F154" s="404"/>
      <c r="G154" s="404"/>
      <c r="H154" s="404"/>
    </row>
    <row r="155" spans="5:8" ht="12.75">
      <c r="E155" s="179">
        <f>('Inspect &amp; Adjust Beats'!H85*2)+('Inspect &amp; Adjust Beats'!H40)</f>
        <v>2913.6677348984467</v>
      </c>
      <c r="F155" s="404" t="s">
        <v>563</v>
      </c>
      <c r="G155" s="404"/>
      <c r="H155" s="404"/>
    </row>
    <row r="156" spans="5:8" ht="12.75">
      <c r="E156" s="181" t="s">
        <v>525</v>
      </c>
      <c r="F156" s="404" t="s">
        <v>562</v>
      </c>
      <c r="G156" s="404"/>
      <c r="H156" s="404"/>
    </row>
    <row r="157" spans="5:8" ht="12.75">
      <c r="E157" s="181" t="s">
        <v>525</v>
      </c>
      <c r="F157" s="404"/>
      <c r="G157" s="404"/>
      <c r="H157" s="404"/>
    </row>
    <row r="158" spans="5:8" ht="12.75">
      <c r="E158" s="181" t="s">
        <v>525</v>
      </c>
      <c r="F158" s="404"/>
      <c r="G158" s="404"/>
      <c r="H158" s="404"/>
    </row>
    <row r="159" spans="5:8" ht="12.75">
      <c r="E159" s="187">
        <f>('Inspect &amp; Adjust Beats'!H85*2)+('Inspect &amp; Adjust Beats'!H44)</f>
        <v>2973.995582675915</v>
      </c>
      <c r="F159" s="404"/>
      <c r="G159" s="404"/>
      <c r="H159" s="404"/>
    </row>
  </sheetData>
  <mergeCells count="55">
    <mergeCell ref="A133:B133"/>
    <mergeCell ref="A134:B134"/>
    <mergeCell ref="A135:B135"/>
    <mergeCell ref="A136:B136"/>
    <mergeCell ref="A129:B129"/>
    <mergeCell ref="A130:B130"/>
    <mergeCell ref="A131:B131"/>
    <mergeCell ref="A132:B132"/>
    <mergeCell ref="A137:B137"/>
    <mergeCell ref="A138:B138"/>
    <mergeCell ref="A139:B139"/>
    <mergeCell ref="A140:B140"/>
    <mergeCell ref="A141:B141"/>
    <mergeCell ref="A142:B142"/>
    <mergeCell ref="A143:B143"/>
    <mergeCell ref="A144:B144"/>
    <mergeCell ref="G7:K7"/>
    <mergeCell ref="G8:K8"/>
    <mergeCell ref="G3:K3"/>
    <mergeCell ref="G4:K4"/>
    <mergeCell ref="G5:K5"/>
    <mergeCell ref="G6:K6"/>
    <mergeCell ref="G13:K13"/>
    <mergeCell ref="G14:K14"/>
    <mergeCell ref="G10:K10"/>
    <mergeCell ref="G9:K9"/>
    <mergeCell ref="G11:K11"/>
    <mergeCell ref="G12:K12"/>
    <mergeCell ref="H18:K18"/>
    <mergeCell ref="H19:K19"/>
    <mergeCell ref="H20:K20"/>
    <mergeCell ref="H21:K21"/>
    <mergeCell ref="H26:K26"/>
    <mergeCell ref="H27:I27"/>
    <mergeCell ref="H22:K22"/>
    <mergeCell ref="H23:K23"/>
    <mergeCell ref="H24:K24"/>
    <mergeCell ref="H25:K25"/>
    <mergeCell ref="F156:H156"/>
    <mergeCell ref="F150:H150"/>
    <mergeCell ref="F149:H149"/>
    <mergeCell ref="F151:H151"/>
    <mergeCell ref="F152:H152"/>
    <mergeCell ref="F153:H153"/>
    <mergeCell ref="F154:H154"/>
    <mergeCell ref="A127:B127"/>
    <mergeCell ref="F159:H159"/>
    <mergeCell ref="A145:B145"/>
    <mergeCell ref="A146:B146"/>
    <mergeCell ref="A128:B128"/>
    <mergeCell ref="F147:H147"/>
    <mergeCell ref="F148:H148"/>
    <mergeCell ref="F157:H157"/>
    <mergeCell ref="F158:H158"/>
    <mergeCell ref="F155:H155"/>
  </mergeCell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124"/>
  <sheetViews>
    <sheetView workbookViewId="0" topLeftCell="A1">
      <selection activeCell="Q19" sqref="Q19"/>
    </sheetView>
  </sheetViews>
  <sheetFormatPr defaultColWidth="9.140625" defaultRowHeight="12.75"/>
  <cols>
    <col min="1" max="3" width="9.28125" style="7" customWidth="1"/>
    <col min="4" max="4" width="1.7109375" style="7" customWidth="1"/>
    <col min="5" max="5" width="9.28125" style="7" customWidth="1"/>
    <col min="6" max="6" width="1.7109375" style="7" customWidth="1"/>
    <col min="7" max="7" width="9.28125" style="7" customWidth="1"/>
    <col min="8" max="8" width="1.7109375" style="7" customWidth="1"/>
    <col min="9" max="9" width="9.28125" style="7" customWidth="1"/>
    <col min="10" max="10" width="1.7109375" style="7" customWidth="1"/>
    <col min="11" max="11" width="9.28125" style="7" customWidth="1"/>
    <col min="12" max="12" width="1.7109375" style="7" customWidth="1"/>
    <col min="13" max="13" width="9.28125" style="7" customWidth="1"/>
    <col min="14" max="14" width="1.7109375" style="7" customWidth="1"/>
    <col min="15" max="15" width="9.28125" style="7" customWidth="1"/>
    <col min="16" max="16" width="1.7109375" style="7" customWidth="1"/>
    <col min="17" max="17" width="9.28125" style="7" customWidth="1"/>
    <col min="18" max="18" width="1.7109375" style="7" customWidth="1"/>
    <col min="19" max="19" width="9.28125" style="7" customWidth="1"/>
    <col min="20" max="20" width="1.7109375" style="7" customWidth="1"/>
    <col min="21" max="21" width="9.28125" style="7" customWidth="1"/>
    <col min="22" max="22" width="1.7109375" style="7" customWidth="1"/>
    <col min="23" max="23" width="9.28125" style="7" customWidth="1"/>
    <col min="24" max="24" width="1.7109375" style="7" customWidth="1"/>
    <col min="25" max="25" width="9.28125" style="7" customWidth="1"/>
    <col min="26" max="26" width="1.7109375" style="7" customWidth="1"/>
    <col min="27" max="27" width="9.28125" style="7" customWidth="1"/>
    <col min="28" max="28" width="1.7109375" style="7" customWidth="1"/>
    <col min="29" max="29" width="9.28125" style="7" customWidth="1"/>
    <col min="30" max="30" width="1.7109375" style="7" customWidth="1"/>
    <col min="31" max="31" width="9.28125" style="7" customWidth="1"/>
    <col min="32" max="32" width="1.7109375" style="7" customWidth="1"/>
    <col min="33" max="33" width="9.28125" style="7" customWidth="1"/>
    <col min="34" max="34" width="1.7109375" style="7" customWidth="1"/>
    <col min="35" max="35" width="9.28125" style="7" customWidth="1"/>
    <col min="36" max="36" width="1.7109375" style="7" customWidth="1"/>
    <col min="37" max="37" width="9.28125" style="7" customWidth="1"/>
    <col min="38" max="38" width="1.7109375" style="7" customWidth="1"/>
    <col min="39" max="39" width="9.28125" style="7" customWidth="1"/>
    <col min="40" max="40" width="1.7109375" style="7" customWidth="1"/>
    <col min="41" max="41" width="9.28125" style="7" customWidth="1"/>
    <col min="42" max="16384" width="9.140625" style="7" customWidth="1"/>
  </cols>
  <sheetData>
    <row r="1" spans="1:41" ht="20.25">
      <c r="A1" s="197"/>
      <c r="B1" s="197"/>
      <c r="C1" s="197"/>
      <c r="D1" s="197"/>
      <c r="E1" s="197"/>
      <c r="F1" s="197"/>
      <c r="G1" s="197"/>
      <c r="H1" s="197"/>
      <c r="I1" s="409" t="s">
        <v>571</v>
      </c>
      <c r="J1" s="409"/>
      <c r="K1" s="409"/>
      <c r="L1" s="409"/>
      <c r="M1" s="409"/>
      <c r="N1" s="409"/>
      <c r="O1" s="409"/>
      <c r="P1" s="409"/>
      <c r="Q1" s="409"/>
      <c r="R1" s="409"/>
      <c r="S1" s="409"/>
      <c r="T1" s="409"/>
      <c r="U1" s="409"/>
      <c r="V1" s="409"/>
      <c r="W1" s="409"/>
      <c r="X1" s="409"/>
      <c r="Y1" s="409"/>
      <c r="Z1" s="197"/>
      <c r="AA1" s="197"/>
      <c r="AB1" s="197"/>
      <c r="AC1" s="197"/>
      <c r="AD1" s="197"/>
      <c r="AE1" s="197"/>
      <c r="AF1" s="197"/>
      <c r="AG1" s="197"/>
      <c r="AH1" s="197"/>
      <c r="AI1" s="197"/>
      <c r="AJ1" s="197"/>
      <c r="AK1" s="197"/>
      <c r="AL1" s="197"/>
      <c r="AM1" s="197"/>
      <c r="AN1" s="197"/>
      <c r="AO1" s="197"/>
    </row>
    <row r="2" spans="1:41" ht="13.5" thickBot="1">
      <c r="A2" s="198"/>
      <c r="B2" s="199"/>
      <c r="C2" s="199">
        <v>-7</v>
      </c>
      <c r="D2" s="199"/>
      <c r="E2" s="199">
        <v>-6</v>
      </c>
      <c r="F2" s="200"/>
      <c r="G2" s="199">
        <v>-5</v>
      </c>
      <c r="H2" s="199"/>
      <c r="I2" s="199">
        <v>-4</v>
      </c>
      <c r="J2" s="199"/>
      <c r="K2" s="199">
        <v>-3</v>
      </c>
      <c r="L2" s="199"/>
      <c r="M2" s="199">
        <v>-2</v>
      </c>
      <c r="N2" s="199"/>
      <c r="O2" s="199">
        <v>-1</v>
      </c>
      <c r="P2" s="199"/>
      <c r="Q2" s="199">
        <v>0</v>
      </c>
      <c r="R2" s="199"/>
      <c r="S2" s="199">
        <v>1</v>
      </c>
      <c r="T2" s="199"/>
      <c r="U2" s="199">
        <v>2</v>
      </c>
      <c r="V2" s="199"/>
      <c r="W2" s="199">
        <v>3</v>
      </c>
      <c r="X2" s="199"/>
      <c r="Y2" s="199">
        <v>4</v>
      </c>
      <c r="Z2" s="199"/>
      <c r="AA2" s="199">
        <v>5</v>
      </c>
      <c r="AB2" s="199"/>
      <c r="AC2" s="199">
        <v>6</v>
      </c>
      <c r="AD2" s="199"/>
      <c r="AE2" s="199">
        <v>7</v>
      </c>
      <c r="AF2" s="199"/>
      <c r="AG2" s="199">
        <v>8</v>
      </c>
      <c r="AH2" s="199"/>
      <c r="AI2" s="199">
        <v>9</v>
      </c>
      <c r="AJ2" s="199"/>
      <c r="AK2" s="199">
        <v>10</v>
      </c>
      <c r="AL2" s="199"/>
      <c r="AM2" s="199">
        <v>11</v>
      </c>
      <c r="AN2" s="199"/>
      <c r="AO2" s="201">
        <v>12</v>
      </c>
    </row>
    <row r="3" spans="1:41" ht="13.5" thickBot="1">
      <c r="A3" s="198">
        <v>1</v>
      </c>
      <c r="B3" s="195" t="s">
        <v>547</v>
      </c>
      <c r="C3" s="299"/>
      <c r="D3" s="300"/>
      <c r="E3" s="301"/>
      <c r="F3" s="300"/>
      <c r="G3" s="301"/>
      <c r="H3" s="302"/>
      <c r="I3" s="303">
        <f>'79-tone Qanun Layout'!E140</f>
        <v>2687.0481401267034</v>
      </c>
      <c r="J3" s="304" t="s">
        <v>569</v>
      </c>
      <c r="K3" s="304">
        <f>'79-tone Qanun Layout'!E142</f>
        <v>2713.5133298876917</v>
      </c>
      <c r="L3" s="304" t="s">
        <v>569</v>
      </c>
      <c r="M3" s="304">
        <f>'79-tone Qanun Layout'!E144</f>
        <v>2739.97851964868</v>
      </c>
      <c r="N3" s="304" t="s">
        <v>569</v>
      </c>
      <c r="O3" s="304">
        <f>'79-tone Qanun Layout'!E145</f>
        <v>2766.4437094096684</v>
      </c>
      <c r="P3" s="304" t="s">
        <v>569</v>
      </c>
      <c r="Q3" s="305">
        <f>'79-tone Qanun Layout'!E147</f>
        <v>2792.9088991706576</v>
      </c>
      <c r="R3" s="302" t="s">
        <v>570</v>
      </c>
      <c r="S3" s="304">
        <f>'79-tone Qanun Layout'!E148</f>
        <v>2817.0606663162152</v>
      </c>
      <c r="T3" s="304" t="s">
        <v>570</v>
      </c>
      <c r="U3" s="304">
        <f>'79-tone Qanun Layout'!E150</f>
        <v>2841.212433461773</v>
      </c>
      <c r="V3" s="304" t="s">
        <v>570</v>
      </c>
      <c r="W3" s="304">
        <f>'79-tone Qanun Layout'!E152</f>
        <v>2865.3642006073305</v>
      </c>
      <c r="X3" s="304" t="s">
        <v>570</v>
      </c>
      <c r="Y3" s="304">
        <f>'79-tone Qanun Layout'!E154</f>
        <v>2889.515967752888</v>
      </c>
      <c r="Z3" s="304" t="s">
        <v>570</v>
      </c>
      <c r="AA3" s="304">
        <f>'79-tone Qanun Layout'!E155</f>
        <v>2913.6677348984467</v>
      </c>
      <c r="AB3" s="306" t="s">
        <v>570</v>
      </c>
      <c r="AC3" s="307">
        <f>'79-tone Qanun Layout'!E159</f>
        <v>2973.995582675915</v>
      </c>
      <c r="AD3" s="308"/>
      <c r="AE3" s="301"/>
      <c r="AF3" s="300"/>
      <c r="AG3" s="301"/>
      <c r="AH3" s="300"/>
      <c r="AI3" s="301"/>
      <c r="AJ3" s="300"/>
      <c r="AK3" s="301"/>
      <c r="AL3" s="300"/>
      <c r="AM3" s="301"/>
      <c r="AN3" s="300"/>
      <c r="AO3" s="309"/>
    </row>
    <row r="4" spans="1:41" ht="14.25" thickBot="1" thickTop="1">
      <c r="A4" s="198">
        <v>2</v>
      </c>
      <c r="B4" s="195" t="s">
        <v>537</v>
      </c>
      <c r="C4" s="310"/>
      <c r="D4" s="311"/>
      <c r="E4" s="312"/>
      <c r="F4" s="313"/>
      <c r="G4" s="314">
        <f>'79-tone Qanun Layout'!D127</f>
        <v>2491.689183289612</v>
      </c>
      <c r="H4" s="313" t="s">
        <v>569</v>
      </c>
      <c r="I4" s="315">
        <f>'79-tone Qanun Layout'!D128</f>
        <v>2512.6618326091143</v>
      </c>
      <c r="J4" s="315" t="s">
        <v>569</v>
      </c>
      <c r="K4" s="315">
        <f>'79-tone Qanun Layout'!D130</f>
        <v>2533.6344819286164</v>
      </c>
      <c r="L4" s="315" t="s">
        <v>569</v>
      </c>
      <c r="M4" s="315">
        <f>'79-tone Qanun Layout'!D131</f>
        <v>2554.6071312481185</v>
      </c>
      <c r="N4" s="315" t="s">
        <v>569</v>
      </c>
      <c r="O4" s="315">
        <f>'79-tone Qanun Layout'!D133</f>
        <v>2575.5797805676207</v>
      </c>
      <c r="P4" s="315" t="s">
        <v>569</v>
      </c>
      <c r="Q4" s="316">
        <f>'79-tone Qanun Layout'!D134</f>
        <v>2596.5524298871223</v>
      </c>
      <c r="R4" s="313" t="s">
        <v>570</v>
      </c>
      <c r="S4" s="315">
        <f>'79-tone Qanun Layout'!D135</f>
        <v>2616.7216048089153</v>
      </c>
      <c r="T4" s="315" t="s">
        <v>570</v>
      </c>
      <c r="U4" s="315">
        <f>'79-tone Qanun Layout'!D137</f>
        <v>2636.8907797307083</v>
      </c>
      <c r="V4" s="315" t="s">
        <v>570</v>
      </c>
      <c r="W4" s="315">
        <f>'79-tone Qanun Layout'!D138</f>
        <v>2657.0599546525013</v>
      </c>
      <c r="X4" s="315" t="s">
        <v>570</v>
      </c>
      <c r="Y4" s="317">
        <f>'79-tone Qanun Layout'!D139</f>
        <v>2677.2291295742943</v>
      </c>
      <c r="Z4" s="318" t="s">
        <v>570</v>
      </c>
      <c r="AA4" s="319">
        <f>'79-tone Qanun Layout'!D141</f>
        <v>2697.3983044960873</v>
      </c>
      <c r="AB4" s="315" t="s">
        <v>570</v>
      </c>
      <c r="AC4" s="315">
        <f>'79-tone Qanun Layout'!D142</f>
        <v>2717.5674794178794</v>
      </c>
      <c r="AD4" s="320" t="s">
        <v>570</v>
      </c>
      <c r="AE4" s="321">
        <f>'79-tone Qanun Layout'!D144</f>
        <v>2747.966831325116</v>
      </c>
      <c r="AF4" s="322" t="s">
        <v>570</v>
      </c>
      <c r="AG4" s="321">
        <f>'79-tone Qanun Layout'!D146</f>
        <v>2778.366183232353</v>
      </c>
      <c r="AH4" s="311"/>
      <c r="AI4" s="312"/>
      <c r="AJ4" s="311"/>
      <c r="AK4" s="312"/>
      <c r="AL4" s="311"/>
      <c r="AM4" s="312"/>
      <c r="AN4" s="311"/>
      <c r="AO4" s="323"/>
    </row>
    <row r="5" spans="1:41" ht="14.25" thickBot="1" thickTop="1">
      <c r="A5" s="198">
        <v>3</v>
      </c>
      <c r="B5" s="196" t="s">
        <v>536</v>
      </c>
      <c r="C5" s="310"/>
      <c r="D5" s="311"/>
      <c r="E5" s="312"/>
      <c r="F5" s="313"/>
      <c r="G5" s="324">
        <f>'79-tone Qanun Layout'!C114</f>
        <v>2293.5468714072426</v>
      </c>
      <c r="H5" s="313" t="s">
        <v>569</v>
      </c>
      <c r="I5" s="315">
        <f>'79-tone Qanun Layout'!C115</f>
        <v>2314.837497125794</v>
      </c>
      <c r="J5" s="315" t="s">
        <v>569</v>
      </c>
      <c r="K5" s="315">
        <f>'79-tone Qanun Layout'!C117</f>
        <v>2336.1281228443454</v>
      </c>
      <c r="L5" s="315" t="s">
        <v>569</v>
      </c>
      <c r="M5" s="315">
        <f>'79-tone Qanun Layout'!C119</f>
        <v>2357.418748562897</v>
      </c>
      <c r="N5" s="315" t="s">
        <v>569</v>
      </c>
      <c r="O5" s="315">
        <f>'79-tone Qanun Layout'!C120</f>
        <v>2378.709374281448</v>
      </c>
      <c r="P5" s="315" t="s">
        <v>569</v>
      </c>
      <c r="Q5" s="325">
        <f>'79-tone Qanun Layout'!C121</f>
        <v>2400</v>
      </c>
      <c r="R5" s="313" t="s">
        <v>570</v>
      </c>
      <c r="S5" s="315">
        <f>'79-tone Qanun Layout'!C122</f>
        <v>2420.2006637366953</v>
      </c>
      <c r="T5" s="315" t="s">
        <v>570</v>
      </c>
      <c r="U5" s="315">
        <f>'79-tone Qanun Layout'!C124</f>
        <v>2440.4013274733907</v>
      </c>
      <c r="V5" s="315" t="s">
        <v>570</v>
      </c>
      <c r="W5" s="315">
        <f>'79-tone Qanun Layout'!C125</f>
        <v>2460.601991210086</v>
      </c>
      <c r="X5" s="315" t="s">
        <v>570</v>
      </c>
      <c r="Y5" s="326">
        <f>'79-tone Qanun Layout'!C126</f>
        <v>2480.8026549467813</v>
      </c>
      <c r="Z5" s="327" t="s">
        <v>570</v>
      </c>
      <c r="AA5" s="328">
        <f>'79-tone Qanun Layout'!C128</f>
        <v>2501.0033186834767</v>
      </c>
      <c r="AB5" s="315" t="s">
        <v>570</v>
      </c>
      <c r="AC5" s="315">
        <f>'79-tone Qanun Layout'!C129</f>
        <v>2521.203982420171</v>
      </c>
      <c r="AD5" s="320" t="s">
        <v>570</v>
      </c>
      <c r="AE5" s="321">
        <f>'79-tone Qanun Layout'!C131</f>
        <v>2551.4733960325857</v>
      </c>
      <c r="AF5" s="322" t="s">
        <v>570</v>
      </c>
      <c r="AG5" s="321">
        <f>'79-tone Qanun Layout'!C133</f>
        <v>2581.7428096450003</v>
      </c>
      <c r="AH5" s="311"/>
      <c r="AI5" s="312"/>
      <c r="AJ5" s="311"/>
      <c r="AK5" s="312"/>
      <c r="AL5" s="311"/>
      <c r="AM5" s="312"/>
      <c r="AN5" s="311"/>
      <c r="AO5" s="323"/>
    </row>
    <row r="6" spans="1:41" ht="14.25" thickBot="1" thickTop="1">
      <c r="A6" s="198">
        <v>4</v>
      </c>
      <c r="B6" s="205" t="s">
        <v>530</v>
      </c>
      <c r="C6" s="310"/>
      <c r="D6" s="311"/>
      <c r="E6" s="312"/>
      <c r="F6" s="313"/>
      <c r="G6" s="314">
        <f>'79-tone Qanun Layout'!B107</f>
        <v>2188.5365639648585</v>
      </c>
      <c r="H6" s="313" t="s">
        <v>569</v>
      </c>
      <c r="I6" s="315">
        <f>'79-tone Qanun Layout'!B108</f>
        <v>2209.5386254533355</v>
      </c>
      <c r="J6" s="315" t="s">
        <v>569</v>
      </c>
      <c r="K6" s="315">
        <f>'79-tone Qanun Layout'!B110</f>
        <v>2230.5406869418125</v>
      </c>
      <c r="L6" s="315" t="s">
        <v>569</v>
      </c>
      <c r="M6" s="315">
        <f>'79-tone Qanun Layout'!B112</f>
        <v>2251.5427484302895</v>
      </c>
      <c r="N6" s="315" t="s">
        <v>569</v>
      </c>
      <c r="O6" s="315">
        <f>'79-tone Qanun Layout'!B113</f>
        <v>2272.5448099187665</v>
      </c>
      <c r="P6" s="315" t="s">
        <v>569</v>
      </c>
      <c r="Q6" s="329">
        <f>'79-tone Qanun Layout'!B114</f>
        <v>2293.5468714072426</v>
      </c>
      <c r="R6" s="313" t="s">
        <v>570</v>
      </c>
      <c r="S6" s="315">
        <f>'79-tone Qanun Layout'!B115</f>
        <v>2314.0292416213506</v>
      </c>
      <c r="T6" s="315" t="s">
        <v>570</v>
      </c>
      <c r="U6" s="315">
        <f>'79-tone Qanun Layout'!B117</f>
        <v>2334.5116118354586</v>
      </c>
      <c r="V6" s="315" t="s">
        <v>570</v>
      </c>
      <c r="W6" s="315">
        <f>'79-tone Qanun Layout'!B119</f>
        <v>2354.9939820495665</v>
      </c>
      <c r="X6" s="315" t="s">
        <v>570</v>
      </c>
      <c r="Y6" s="315">
        <f>'79-tone Qanun Layout'!B120</f>
        <v>2375.4763522636745</v>
      </c>
      <c r="Z6" s="315" t="s">
        <v>570</v>
      </c>
      <c r="AA6" s="330">
        <f>'79-tone Qanun Layout'!B121</f>
        <v>2395.9587224777824</v>
      </c>
      <c r="AB6" s="315" t="s">
        <v>570</v>
      </c>
      <c r="AC6" s="315">
        <f>'79-tone Qanun Layout'!B122</f>
        <v>2416.4410926918904</v>
      </c>
      <c r="AD6" s="320" t="s">
        <v>570</v>
      </c>
      <c r="AE6" s="331">
        <f>'79-tone Qanun Layout'!B124</f>
        <v>2446.1958381165964</v>
      </c>
      <c r="AF6" s="322" t="s">
        <v>570</v>
      </c>
      <c r="AG6" s="331">
        <f>'79-tone Qanun Layout'!B126</f>
        <v>2475.9505835413024</v>
      </c>
      <c r="AH6" s="311"/>
      <c r="AI6" s="312"/>
      <c r="AJ6" s="311"/>
      <c r="AK6" s="312"/>
      <c r="AL6" s="311"/>
      <c r="AM6" s="312"/>
      <c r="AN6" s="311"/>
      <c r="AO6" s="323"/>
    </row>
    <row r="7" spans="1:41" ht="12.75">
      <c r="A7" s="198">
        <v>5</v>
      </c>
      <c r="B7" s="195" t="s">
        <v>527</v>
      </c>
      <c r="C7" s="310"/>
      <c r="D7" s="332"/>
      <c r="E7" s="333">
        <f>'79-tone Qanun Layout'!H127</f>
        <v>1992.0767471542501</v>
      </c>
      <c r="F7" s="332" t="s">
        <v>569</v>
      </c>
      <c r="G7" s="334">
        <f>'79-tone Qanun Layout'!H128</f>
        <v>2009.651298359317</v>
      </c>
      <c r="H7" s="332" t="s">
        <v>569</v>
      </c>
      <c r="I7" s="334">
        <f>'79-tone Qanun Layout'!H129</f>
        <v>2027.225849564384</v>
      </c>
      <c r="J7" s="334" t="s">
        <v>569</v>
      </c>
      <c r="K7" s="334">
        <f>'79-tone Qanun Layout'!H130</f>
        <v>2044.8004007694508</v>
      </c>
      <c r="L7" s="334" t="s">
        <v>569</v>
      </c>
      <c r="M7" s="334">
        <f>'79-tone Qanun Layout'!H132</f>
        <v>2062.3749519745174</v>
      </c>
      <c r="N7" s="334" t="s">
        <v>569</v>
      </c>
      <c r="O7" s="334">
        <f>'79-tone Qanun Layout'!H133</f>
        <v>2079.949503179584</v>
      </c>
      <c r="P7" s="334" t="s">
        <v>569</v>
      </c>
      <c r="Q7" s="335">
        <f>'79-tone Qanun Layout'!H134</f>
        <v>2097.524054384651</v>
      </c>
      <c r="R7" s="332" t="s">
        <v>570</v>
      </c>
      <c r="S7" s="334">
        <f>'79-tone Qanun Layout'!H135</f>
        <v>2114.8869119567394</v>
      </c>
      <c r="T7" s="334" t="s">
        <v>570</v>
      </c>
      <c r="U7" s="334">
        <f>'79-tone Qanun Layout'!H136</f>
        <v>2132.2497695288275</v>
      </c>
      <c r="V7" s="334" t="s">
        <v>570</v>
      </c>
      <c r="W7" s="334">
        <f>'79-tone Qanun Layout'!H137</f>
        <v>2149.6126271009157</v>
      </c>
      <c r="X7" s="334" t="s">
        <v>570</v>
      </c>
      <c r="Y7" s="334">
        <f>'79-tone Qanun Layout'!H139</f>
        <v>2166.975484673004</v>
      </c>
      <c r="Z7" s="334" t="s">
        <v>570</v>
      </c>
      <c r="AA7" s="333">
        <f>'79-tone Qanun Layout'!H140</f>
        <v>2184.338342245092</v>
      </c>
      <c r="AB7" s="334" t="s">
        <v>570</v>
      </c>
      <c r="AC7" s="334">
        <f>'79-tone Qanun Layout'!H141</f>
        <v>2201.70119981718</v>
      </c>
      <c r="AD7" s="334" t="s">
        <v>570</v>
      </c>
      <c r="AE7" s="334">
        <f>'79-tone Qanun Layout'!H142</f>
        <v>2219.064057389269</v>
      </c>
      <c r="AF7" s="322" t="s">
        <v>570</v>
      </c>
      <c r="AG7" s="336">
        <f>'79-tone Qanun Layout'!H143</f>
        <v>2239.187994522418</v>
      </c>
      <c r="AH7" s="322" t="s">
        <v>570</v>
      </c>
      <c r="AI7" s="336">
        <f>'79-tone Qanun Layout'!H145</f>
        <v>2259.3119316555676</v>
      </c>
      <c r="AJ7" s="322" t="s">
        <v>570</v>
      </c>
      <c r="AK7" s="336">
        <f>'79-tone Qanun Layout'!H146</f>
        <v>2279.435868788717</v>
      </c>
      <c r="AL7" s="311"/>
      <c r="AM7" s="312"/>
      <c r="AN7" s="311"/>
      <c r="AO7" s="323"/>
    </row>
    <row r="8" spans="1:41" ht="13.5" thickBot="1">
      <c r="A8" s="198">
        <v>6</v>
      </c>
      <c r="B8" s="196" t="s">
        <v>526</v>
      </c>
      <c r="C8" s="310"/>
      <c r="D8" s="332"/>
      <c r="E8" s="333">
        <f>'79-tone Qanun Layout'!G114</f>
        <v>1789.3424561980787</v>
      </c>
      <c r="F8" s="332" t="s">
        <v>569</v>
      </c>
      <c r="G8" s="334">
        <f>'79-tone Qanun Layout'!G115</f>
        <v>1808.1112136426302</v>
      </c>
      <c r="H8" s="332" t="s">
        <v>569</v>
      </c>
      <c r="I8" s="334">
        <f>'79-tone Qanun Layout'!G116</f>
        <v>1826.8799710871817</v>
      </c>
      <c r="J8" s="334" t="s">
        <v>569</v>
      </c>
      <c r="K8" s="334">
        <f>'79-tone Qanun Layout'!G117</f>
        <v>1845.6487285317332</v>
      </c>
      <c r="L8" s="334" t="s">
        <v>569</v>
      </c>
      <c r="M8" s="334">
        <f>'79-tone Qanun Layout'!G119</f>
        <v>1864.4174859762848</v>
      </c>
      <c r="N8" s="334" t="s">
        <v>569</v>
      </c>
      <c r="O8" s="334">
        <f>'79-tone Qanun Layout'!G120</f>
        <v>1883.1862434208363</v>
      </c>
      <c r="P8" s="334" t="s">
        <v>569</v>
      </c>
      <c r="Q8" s="335">
        <f>'79-tone Qanun Layout'!G121</f>
        <v>1901.9550008653873</v>
      </c>
      <c r="R8" s="332" t="s">
        <v>570</v>
      </c>
      <c r="S8" s="334">
        <f>'79-tone Qanun Layout'!G122</f>
        <v>1919.123122090064</v>
      </c>
      <c r="T8" s="334" t="s">
        <v>570</v>
      </c>
      <c r="U8" s="334">
        <f>'79-tone Qanun Layout'!G123</f>
        <v>1936.2912433147408</v>
      </c>
      <c r="V8" s="334" t="s">
        <v>570</v>
      </c>
      <c r="W8" s="334">
        <f>'79-tone Qanun Layout'!G124</f>
        <v>1953.4593645394175</v>
      </c>
      <c r="X8" s="334" t="s">
        <v>570</v>
      </c>
      <c r="Y8" s="334">
        <f>'79-tone Qanun Layout'!G126</f>
        <v>1970.6274857640942</v>
      </c>
      <c r="Z8" s="334" t="s">
        <v>570</v>
      </c>
      <c r="AA8" s="333">
        <f>'79-tone Qanun Layout'!G127</f>
        <v>1987.795606988771</v>
      </c>
      <c r="AB8" s="334" t="s">
        <v>570</v>
      </c>
      <c r="AC8" s="334">
        <f>'79-tone Qanun Layout'!G128</f>
        <v>2004.9637282134477</v>
      </c>
      <c r="AD8" s="334" t="s">
        <v>570</v>
      </c>
      <c r="AE8" s="334">
        <f>'79-tone Qanun Layout'!G129</f>
        <v>2022.1318494381248</v>
      </c>
      <c r="AF8" s="322" t="s">
        <v>570</v>
      </c>
      <c r="AG8" s="336">
        <f>'79-tone Qanun Layout'!G130</f>
        <v>2042.3232274492423</v>
      </c>
      <c r="AH8" s="322" t="s">
        <v>570</v>
      </c>
      <c r="AI8" s="336">
        <f>'79-tone Qanun Layout'!G132</f>
        <v>2062.5146054603597</v>
      </c>
      <c r="AJ8" s="322" t="s">
        <v>570</v>
      </c>
      <c r="AK8" s="336">
        <f>'79-tone Qanun Layout'!G133</f>
        <v>2082.7059834714773</v>
      </c>
      <c r="AL8" s="311"/>
      <c r="AM8" s="312"/>
      <c r="AN8" s="311"/>
      <c r="AO8" s="323"/>
    </row>
    <row r="9" spans="1:41" ht="14.25" thickBot="1" thickTop="1">
      <c r="A9" s="198">
        <v>7</v>
      </c>
      <c r="B9" s="205" t="s">
        <v>524</v>
      </c>
      <c r="C9" s="310"/>
      <c r="D9" s="332"/>
      <c r="E9" s="337">
        <f>'79-tone Qanun Layout'!F101</f>
        <v>1592.9088991706576</v>
      </c>
      <c r="F9" s="332" t="s">
        <v>569</v>
      </c>
      <c r="G9" s="334">
        <f>'79-tone Qanun Layout'!F102</f>
        <v>1610.431582497983</v>
      </c>
      <c r="H9" s="332" t="s">
        <v>569</v>
      </c>
      <c r="I9" s="334">
        <f>'79-tone Qanun Layout'!F103</f>
        <v>1627.9542658253085</v>
      </c>
      <c r="J9" s="334" t="s">
        <v>569</v>
      </c>
      <c r="K9" s="334">
        <f>'79-tone Qanun Layout'!F104</f>
        <v>1645.476949152634</v>
      </c>
      <c r="L9" s="334" t="s">
        <v>569</v>
      </c>
      <c r="M9" s="334">
        <f>'79-tone Qanun Layout'!F106</f>
        <v>1662.9996324799595</v>
      </c>
      <c r="N9" s="334" t="s">
        <v>569</v>
      </c>
      <c r="O9" s="334">
        <f>'79-tone Qanun Layout'!F107</f>
        <v>1680.522315807285</v>
      </c>
      <c r="P9" s="334" t="s">
        <v>569</v>
      </c>
      <c r="Q9" s="338">
        <f>'79-tone Qanun Layout'!F108</f>
        <v>1698.0449991346106</v>
      </c>
      <c r="R9" s="332" t="s">
        <v>570</v>
      </c>
      <c r="S9" s="334">
        <f>'79-tone Qanun Layout'!F109</f>
        <v>1715.414856357165</v>
      </c>
      <c r="T9" s="334" t="s">
        <v>570</v>
      </c>
      <c r="U9" s="334">
        <f>'79-tone Qanun Layout'!F110</f>
        <v>1732.7847135797194</v>
      </c>
      <c r="V9" s="334" t="s">
        <v>570</v>
      </c>
      <c r="W9" s="334">
        <f>'79-tone Qanun Layout'!F111</f>
        <v>1750.1545708022738</v>
      </c>
      <c r="X9" s="334" t="s">
        <v>570</v>
      </c>
      <c r="Y9" s="334">
        <f>'79-tone Qanun Layout'!F113</f>
        <v>1767.5244280248282</v>
      </c>
      <c r="Z9" s="334" t="s">
        <v>570</v>
      </c>
      <c r="AA9" s="339">
        <f>'79-tone Qanun Layout'!F114</f>
        <v>1784.8942852473826</v>
      </c>
      <c r="AB9" s="340" t="s">
        <v>570</v>
      </c>
      <c r="AC9" s="341">
        <f>'79-tone Qanun Layout'!F115</f>
        <v>1802.264142469937</v>
      </c>
      <c r="AD9" s="334" t="s">
        <v>570</v>
      </c>
      <c r="AE9" s="334">
        <f>'79-tone Qanun Layout'!F116</f>
        <v>1819.6339996924912</v>
      </c>
      <c r="AF9" s="322" t="s">
        <v>570</v>
      </c>
      <c r="AG9" s="342">
        <f>'79-tone Qanun Layout'!F117</f>
        <v>1839.6852693881985</v>
      </c>
      <c r="AH9" s="322" t="s">
        <v>570</v>
      </c>
      <c r="AI9" s="342">
        <f>'79-tone Qanun Layout'!F119</f>
        <v>1859.7365390839059</v>
      </c>
      <c r="AJ9" s="322" t="s">
        <v>570</v>
      </c>
      <c r="AK9" s="342">
        <f>'79-tone Qanun Layout'!F120</f>
        <v>1879.787808779613</v>
      </c>
      <c r="AL9" s="311"/>
      <c r="AM9" s="312"/>
      <c r="AN9" s="311"/>
      <c r="AO9" s="323"/>
    </row>
    <row r="10" spans="1:41" ht="12.75">
      <c r="A10" s="198">
        <v>8</v>
      </c>
      <c r="B10" s="202" t="s">
        <v>520</v>
      </c>
      <c r="C10" s="376">
        <f>'79-tone Qanun Layout'!E94</f>
        <v>1487.0481401267034</v>
      </c>
      <c r="D10" s="311" t="s">
        <v>569</v>
      </c>
      <c r="E10" s="344">
        <f>'79-tone Qanun Layout'!E95</f>
        <v>1502.3750607897578</v>
      </c>
      <c r="F10" s="311" t="s">
        <v>569</v>
      </c>
      <c r="G10" s="344">
        <f>'79-tone Qanun Layout'!E96</f>
        <v>1517.5674794178794</v>
      </c>
      <c r="H10" s="311" t="s">
        <v>569</v>
      </c>
      <c r="I10" s="344">
        <f>'79-tone Qanun Layout'!E97</f>
        <v>1532.6277361464936</v>
      </c>
      <c r="J10" s="344" t="s">
        <v>569</v>
      </c>
      <c r="K10" s="344">
        <f>'79-tone Qanun Layout'!E98</f>
        <v>1547.5581105650353</v>
      </c>
      <c r="L10" s="344" t="s">
        <v>569</v>
      </c>
      <c r="M10" s="344">
        <f>'79-tone Qanun Layout'!E99</f>
        <v>1562.3608237877697</v>
      </c>
      <c r="N10" s="344" t="s">
        <v>569</v>
      </c>
      <c r="O10" s="344">
        <f>'79-tone Qanun Layout'!E100</f>
        <v>1578.3661832323528</v>
      </c>
      <c r="P10" s="344" t="s">
        <v>569</v>
      </c>
      <c r="Q10" s="329">
        <f>'79-tone Qanun Layout'!E101</f>
        <v>1592.9088991706576</v>
      </c>
      <c r="R10" s="311" t="s">
        <v>570</v>
      </c>
      <c r="S10" s="344">
        <f>'79-tone Qanun Layout'!E102</f>
        <v>1608.6355845992916</v>
      </c>
      <c r="T10" s="344" t="s">
        <v>570</v>
      </c>
      <c r="U10" s="344">
        <f>'79-tone Qanun Layout'!E103</f>
        <v>1622.927278924813</v>
      </c>
      <c r="V10" s="344" t="s">
        <v>570</v>
      </c>
      <c r="W10" s="344">
        <f>'79-tone Qanun Layout'!E104</f>
        <v>1638.3848284808914</v>
      </c>
      <c r="X10" s="344" t="s">
        <v>570</v>
      </c>
      <c r="Y10" s="344">
        <f>'79-tone Qanun Layout'!E105</f>
        <v>1653.7055837695452</v>
      </c>
      <c r="Z10" s="344" t="s">
        <v>570</v>
      </c>
      <c r="AA10" s="344">
        <f>'79-tone Qanun Layout'!E106</f>
        <v>1668.89194473678</v>
      </c>
      <c r="AB10" s="344" t="s">
        <v>570</v>
      </c>
      <c r="AC10" s="344">
        <f>'79-tone Qanun Layout'!E107</f>
        <v>1683.946248719716</v>
      </c>
      <c r="AD10" s="344" t="s">
        <v>570</v>
      </c>
      <c r="AE10" s="345">
        <f>'79-tone Qanun Layout'!E108</f>
        <v>1698.0449991346106</v>
      </c>
      <c r="AF10" s="311" t="s">
        <v>570</v>
      </c>
      <c r="AG10" s="311">
        <f>'79-tone Qanun Layout'!E109</f>
        <v>1713.667734898447</v>
      </c>
      <c r="AH10" s="322" t="s">
        <v>570</v>
      </c>
      <c r="AI10" s="346">
        <f>'79-tone Qanun Layout'!E110</f>
        <v>1728.339297698358</v>
      </c>
      <c r="AJ10" s="322" t="s">
        <v>570</v>
      </c>
      <c r="AK10" s="346">
        <f>'79-tone Qanun Layout'!E111</f>
        <v>1744.09442403072</v>
      </c>
      <c r="AL10" s="322" t="s">
        <v>570</v>
      </c>
      <c r="AM10" s="346">
        <f>'79-tone Qanun Layout'!E112</f>
        <v>1758.5114459931292</v>
      </c>
      <c r="AN10" s="322" t="s">
        <v>570</v>
      </c>
      <c r="AO10" s="347">
        <f>'79-tone Qanun Layout'!E113</f>
        <v>1773.995582675915</v>
      </c>
    </row>
    <row r="11" spans="1:41" ht="12.75">
      <c r="A11" s="198">
        <v>9</v>
      </c>
      <c r="B11" s="202" t="s">
        <v>519</v>
      </c>
      <c r="C11" s="376">
        <f>'79-tone Qanun Layout'!D81</f>
        <v>1291.6891832896122</v>
      </c>
      <c r="D11" s="311" t="s">
        <v>569</v>
      </c>
      <c r="E11" s="344">
        <f>'79-tone Qanun Layout'!D82</f>
        <v>1305.7326189630976</v>
      </c>
      <c r="F11" s="311" t="s">
        <v>569</v>
      </c>
      <c r="G11" s="344">
        <f>'79-tone Qanun Layout'!D83</f>
        <v>1321.2039824201709</v>
      </c>
      <c r="H11" s="311" t="s">
        <v>569</v>
      </c>
      <c r="I11" s="344">
        <f>'79-tone Qanun Layout'!D84</f>
        <v>1336.5383080857341</v>
      </c>
      <c r="J11" s="344" t="s">
        <v>569</v>
      </c>
      <c r="K11" s="344">
        <f>'79-tone Qanun Layout'!D85</f>
        <v>1351.7380022891268</v>
      </c>
      <c r="L11" s="344" t="s">
        <v>569</v>
      </c>
      <c r="M11" s="344">
        <f>'79-tone Qanun Layout'!D86</f>
        <v>1366.8054085296385</v>
      </c>
      <c r="N11" s="344" t="s">
        <v>569</v>
      </c>
      <c r="O11" s="344">
        <f>'79-tone Qanun Layout'!D87</f>
        <v>1381.742809645</v>
      </c>
      <c r="P11" s="344" t="s">
        <v>569</v>
      </c>
      <c r="Q11" s="348">
        <f>'79-tone Qanun Layout'!D88</f>
        <v>1396.5524298871221</v>
      </c>
      <c r="R11" s="311" t="s">
        <v>570</v>
      </c>
      <c r="S11" s="344">
        <f>'79-tone Qanun Layout'!D89</f>
        <v>1411.2364369097995</v>
      </c>
      <c r="T11" s="344" t="s">
        <v>570</v>
      </c>
      <c r="U11" s="344">
        <f>'79-tone Qanun Layout'!D90</f>
        <v>1427.2462815967929</v>
      </c>
      <c r="V11" s="344" t="s">
        <v>570</v>
      </c>
      <c r="W11" s="344">
        <f>'79-tone Qanun Layout'!D91</f>
        <v>1441.6733154958483</v>
      </c>
      <c r="X11" s="344" t="s">
        <v>570</v>
      </c>
      <c r="Y11" s="344">
        <f>'79-tone Qanun Layout'!D92</f>
        <v>1457.4054142873622</v>
      </c>
      <c r="Z11" s="344" t="s">
        <v>570</v>
      </c>
      <c r="AA11" s="344">
        <f>'79-tone Qanun Layout'!D93</f>
        <v>1471.5843145839974</v>
      </c>
      <c r="AB11" s="344" t="s">
        <v>570</v>
      </c>
      <c r="AC11" s="343">
        <f>'79-tone Qanun Layout'!D94</f>
        <v>1487.0481401267034</v>
      </c>
      <c r="AD11" s="344" t="s">
        <v>570</v>
      </c>
      <c r="AE11" s="311">
        <f>'79-tone Qanun Layout'!D95</f>
        <v>1502.3750607897578</v>
      </c>
      <c r="AF11" s="311" t="s">
        <v>570</v>
      </c>
      <c r="AG11" s="311">
        <f>'79-tone Qanun Layout'!D96</f>
        <v>1517.5674794178794</v>
      </c>
      <c r="AH11" s="322" t="s">
        <v>570</v>
      </c>
      <c r="AI11" s="346">
        <f>'79-tone Qanun Layout'!D97</f>
        <v>1532.6277361464936</v>
      </c>
      <c r="AJ11" s="322" t="s">
        <v>570</v>
      </c>
      <c r="AK11" s="346">
        <f>'79-tone Qanun Layout'!D98</f>
        <v>1547.5581105650353</v>
      </c>
      <c r="AL11" s="322" t="s">
        <v>570</v>
      </c>
      <c r="AM11" s="346">
        <f>'79-tone Qanun Layout'!D99</f>
        <v>1562.3608237877697</v>
      </c>
      <c r="AN11" s="322" t="s">
        <v>570</v>
      </c>
      <c r="AO11" s="347">
        <f>'79-tone Qanun Layout'!D100</f>
        <v>1578.3661832323528</v>
      </c>
    </row>
    <row r="12" spans="1:41" ht="12.75">
      <c r="A12" s="198">
        <v>10</v>
      </c>
      <c r="B12" s="202" t="s">
        <v>518</v>
      </c>
      <c r="C12" s="349">
        <f>'79-tone Qanun Layout'!C68</f>
        <v>1093.5468714072426</v>
      </c>
      <c r="D12" s="311" t="s">
        <v>569</v>
      </c>
      <c r="E12" s="344">
        <f>'79-tone Qanun Layout'!C69</f>
        <v>1109.2854711555524</v>
      </c>
      <c r="F12" s="311" t="s">
        <v>569</v>
      </c>
      <c r="G12" s="344">
        <f>'79-tone Qanun Layout'!C70</f>
        <v>1124.0194668896766</v>
      </c>
      <c r="H12" s="311" t="s">
        <v>569</v>
      </c>
      <c r="I12" s="344">
        <f>'79-tone Qanun Layout'!C71</f>
        <v>1139.484687788232</v>
      </c>
      <c r="J12" s="344" t="s">
        <v>569</v>
      </c>
      <c r="K12" s="344">
        <f>'79-tone Qanun Layout'!C72</f>
        <v>1153.9649585943228</v>
      </c>
      <c r="L12" s="344" t="s">
        <v>569</v>
      </c>
      <c r="M12" s="344">
        <f>'79-tone Qanun Layout'!C73</f>
        <v>1169.1661357137648</v>
      </c>
      <c r="N12" s="344" t="s">
        <v>569</v>
      </c>
      <c r="O12" s="344">
        <f>'79-tone Qanun Layout'!C74</f>
        <v>1184.234999168637</v>
      </c>
      <c r="P12" s="344" t="s">
        <v>569</v>
      </c>
      <c r="Q12" s="329">
        <f>'79-tone Qanun Layout'!C75</f>
        <v>1200</v>
      </c>
      <c r="R12" s="311" t="s">
        <v>570</v>
      </c>
      <c r="S12" s="344">
        <f>'79-tone Qanun Layout'!C76</f>
        <v>1216.4410926918906</v>
      </c>
      <c r="T12" s="344" t="s">
        <v>570</v>
      </c>
      <c r="U12" s="344">
        <f>'79-tone Qanun Layout'!C77</f>
        <v>1231.1057511443696</v>
      </c>
      <c r="V12" s="344" t="s">
        <v>570</v>
      </c>
      <c r="W12" s="344">
        <f>'79-tone Qanun Layout'!C78</f>
        <v>1245.6472332230087</v>
      </c>
      <c r="X12" s="344" t="s">
        <v>570</v>
      </c>
      <c r="Y12" s="344">
        <f>'79-tone Qanun Layout'!C79</f>
        <v>1260.0675909532695</v>
      </c>
      <c r="Z12" s="344" t="s">
        <v>570</v>
      </c>
      <c r="AA12" s="344">
        <f>'79-tone Qanun Layout'!C80</f>
        <v>1275.9505835413024</v>
      </c>
      <c r="AB12" s="344" t="s">
        <v>570</v>
      </c>
      <c r="AC12" s="343">
        <f>'79-tone Qanun Layout'!C81</f>
        <v>1291.6891832896122</v>
      </c>
      <c r="AD12" s="344" t="s">
        <v>570</v>
      </c>
      <c r="AE12" s="311">
        <f>'79-tone Qanun Layout'!C82</f>
        <v>1305.7326189630976</v>
      </c>
      <c r="AF12" s="311" t="s">
        <v>570</v>
      </c>
      <c r="AG12" s="311">
        <f>'79-tone Qanun Layout'!C83</f>
        <v>1321.2039824201709</v>
      </c>
      <c r="AH12" s="322" t="s">
        <v>570</v>
      </c>
      <c r="AI12" s="346">
        <f>'79-tone Qanun Layout'!C84</f>
        <v>1336.5383080857341</v>
      </c>
      <c r="AJ12" s="322" t="s">
        <v>570</v>
      </c>
      <c r="AK12" s="346">
        <f>'79-tone Qanun Layout'!C85</f>
        <v>1351.7380022891268</v>
      </c>
      <c r="AL12" s="322" t="s">
        <v>570</v>
      </c>
      <c r="AM12" s="346">
        <f>'79-tone Qanun Layout'!C86</f>
        <v>1366.8054085296385</v>
      </c>
      <c r="AN12" s="322" t="s">
        <v>570</v>
      </c>
      <c r="AO12" s="347">
        <f>'79-tone Qanun Layout'!C87</f>
        <v>1381.742809645</v>
      </c>
    </row>
    <row r="13" spans="1:41" ht="13.5" thickBot="1">
      <c r="A13" s="198">
        <v>11</v>
      </c>
      <c r="B13" s="202" t="s">
        <v>517</v>
      </c>
      <c r="C13" s="376">
        <f>'79-tone Qanun Layout'!B61</f>
        <v>988.5365639648585</v>
      </c>
      <c r="D13" s="311" t="s">
        <v>569</v>
      </c>
      <c r="E13" s="344">
        <f>'79-tone Qanun Layout'!B62</f>
        <v>1003.507817968792</v>
      </c>
      <c r="F13" s="311" t="s">
        <v>569</v>
      </c>
      <c r="G13" s="344">
        <f>'79-tone Qanun Layout'!B63</f>
        <v>1019.064057389269</v>
      </c>
      <c r="H13" s="311" t="s">
        <v>569</v>
      </c>
      <c r="I13" s="344">
        <f>'79-tone Qanun Layout'!B64</f>
        <v>1033.673714124592</v>
      </c>
      <c r="J13" s="344" t="s">
        <v>569</v>
      </c>
      <c r="K13" s="344">
        <f>'79-tone Qanun Layout'!B65</f>
        <v>1049.0625625536925</v>
      </c>
      <c r="L13" s="344" t="s">
        <v>569</v>
      </c>
      <c r="M13" s="344">
        <f>'79-tone Qanun Layout'!B66</f>
        <v>1064.3158246531568</v>
      </c>
      <c r="N13" s="344" t="s">
        <v>569</v>
      </c>
      <c r="O13" s="344">
        <f>'79-tone Qanun Layout'!B67</f>
        <v>1079.4358687887172</v>
      </c>
      <c r="P13" s="344" t="s">
        <v>569</v>
      </c>
      <c r="Q13" s="329">
        <f>'79-tone Qanun Layout'!B68</f>
        <v>1093.5468714072426</v>
      </c>
      <c r="R13" s="311" t="s">
        <v>570</v>
      </c>
      <c r="S13" s="344">
        <f>'79-tone Qanun Layout'!B69</f>
        <v>1109.2854711555524</v>
      </c>
      <c r="T13" s="344" t="s">
        <v>570</v>
      </c>
      <c r="U13" s="344">
        <f>'79-tone Qanun Layout'!B70</f>
        <v>1124.0194668896766</v>
      </c>
      <c r="V13" s="344" t="s">
        <v>570</v>
      </c>
      <c r="W13" s="344">
        <f>'79-tone Qanun Layout'!B71</f>
        <v>1139.484687788232</v>
      </c>
      <c r="X13" s="344" t="s">
        <v>570</v>
      </c>
      <c r="Y13" s="344">
        <f>'79-tone Qanun Layout'!B72</f>
        <v>1153.9649585943228</v>
      </c>
      <c r="Z13" s="344" t="s">
        <v>570</v>
      </c>
      <c r="AA13" s="344">
        <f>'79-tone Qanun Layout'!B73</f>
        <v>1169.1661357137648</v>
      </c>
      <c r="AB13" s="344" t="s">
        <v>570</v>
      </c>
      <c r="AC13" s="344">
        <f>'79-tone Qanun Layout'!B74</f>
        <v>1184.234999168637</v>
      </c>
      <c r="AD13" s="344" t="s">
        <v>570</v>
      </c>
      <c r="AE13" s="345">
        <f>'79-tone Qanun Layout'!B75</f>
        <v>1200</v>
      </c>
      <c r="AF13" s="311" t="s">
        <v>570</v>
      </c>
      <c r="AG13" s="311">
        <f>'79-tone Qanun Layout'!B76</f>
        <v>1216.4410926918906</v>
      </c>
      <c r="AH13" s="322" t="s">
        <v>570</v>
      </c>
      <c r="AI13" s="346">
        <f>'79-tone Qanun Layout'!B77</f>
        <v>1231.1057511443696</v>
      </c>
      <c r="AJ13" s="322" t="s">
        <v>570</v>
      </c>
      <c r="AK13" s="346">
        <f>'79-tone Qanun Layout'!B78</f>
        <v>1245.6472332230087</v>
      </c>
      <c r="AL13" s="322" t="s">
        <v>570</v>
      </c>
      <c r="AM13" s="346">
        <f>'79-tone Qanun Layout'!B79</f>
        <v>1260.0675909532695</v>
      </c>
      <c r="AN13" s="322" t="s">
        <v>570</v>
      </c>
      <c r="AO13" s="347">
        <f>'79-tone Qanun Layout'!B80</f>
        <v>1275.9505835413024</v>
      </c>
    </row>
    <row r="14" spans="1:41" ht="14.25" thickBot="1" thickTop="1">
      <c r="A14" s="198">
        <v>12</v>
      </c>
      <c r="B14" s="221" t="s">
        <v>499</v>
      </c>
      <c r="C14" s="377">
        <f>'79-tone Qanun Layout'!J64</f>
        <v>792.0767471542501</v>
      </c>
      <c r="D14" s="352" t="s">
        <v>569</v>
      </c>
      <c r="E14" s="353">
        <f>'79-tone Qanun Layout'!J65</f>
        <v>807.6876198284851</v>
      </c>
      <c r="F14" s="352" t="s">
        <v>569</v>
      </c>
      <c r="G14" s="353">
        <f>'79-tone Qanun Layout'!J66</f>
        <v>822.1318494381247</v>
      </c>
      <c r="H14" s="352" t="s">
        <v>569</v>
      </c>
      <c r="I14" s="353">
        <f>'79-tone Qanun Layout'!J67</f>
        <v>837.4752353851366</v>
      </c>
      <c r="J14" s="352" t="s">
        <v>569</v>
      </c>
      <c r="K14" s="353">
        <f>'79-tone Qanun Layout'!J68</f>
        <v>852.6838314272693</v>
      </c>
      <c r="L14" s="352" t="s">
        <v>569</v>
      </c>
      <c r="M14" s="353">
        <f>'79-tone Qanun Layout'!J69</f>
        <v>867.759985183964</v>
      </c>
      <c r="N14" s="352" t="s">
        <v>569</v>
      </c>
      <c r="O14" s="353">
        <f>'79-tone Qanun Layout'!J70</f>
        <v>882.7059834714771</v>
      </c>
      <c r="P14" s="352" t="s">
        <v>569</v>
      </c>
      <c r="Q14" s="354">
        <f>'79-tone Qanun Layout'!J71</f>
        <v>897.5240543846511</v>
      </c>
      <c r="R14" s="352" t="s">
        <v>570</v>
      </c>
      <c r="S14" s="353">
        <f>'79-tone Qanun Layout'!J72</f>
        <v>913.1914377751868</v>
      </c>
      <c r="T14" s="352" t="s">
        <v>570</v>
      </c>
      <c r="U14" s="353">
        <f>'79-tone Qanun Layout'!J73</f>
        <v>927.7519445382131</v>
      </c>
      <c r="V14" s="352" t="s">
        <v>570</v>
      </c>
      <c r="W14" s="353">
        <f>'79-tone Qanun Layout'!J74</f>
        <v>944.1071530532848</v>
      </c>
      <c r="X14" s="352" t="s">
        <v>570</v>
      </c>
      <c r="Y14" s="353">
        <f>'79-tone Qanun Layout'!J75</f>
        <v>959.3604151527497</v>
      </c>
      <c r="Z14" s="352" t="s">
        <v>570</v>
      </c>
      <c r="AA14" s="353">
        <f>'79-tone Qanun Layout'!J76</f>
        <v>973.539315449385</v>
      </c>
      <c r="AB14" s="352" t="s">
        <v>570</v>
      </c>
      <c r="AC14" s="351">
        <f>'79-tone Qanun Layout'!J77</f>
        <v>988.5365639648585</v>
      </c>
      <c r="AD14" s="352" t="s">
        <v>570</v>
      </c>
      <c r="AE14" s="353">
        <f>'79-tone Qanun Layout'!J78</f>
        <v>1003.507817968792</v>
      </c>
      <c r="AF14" s="352" t="s">
        <v>570</v>
      </c>
      <c r="AG14" s="353">
        <f>'79-tone Qanun Layout'!J79</f>
        <v>1019.064057389269</v>
      </c>
      <c r="AH14" s="322" t="s">
        <v>570</v>
      </c>
      <c r="AI14" s="355">
        <f>'79-tone Qanun Layout'!J80</f>
        <v>1033.673714124592</v>
      </c>
      <c r="AJ14" s="322" t="s">
        <v>570</v>
      </c>
      <c r="AK14" s="355">
        <f>'79-tone Qanun Layout'!J81</f>
        <v>1049.0625625536925</v>
      </c>
      <c r="AL14" s="322" t="s">
        <v>570</v>
      </c>
      <c r="AM14" s="355">
        <f>'79-tone Qanun Layout'!J82</f>
        <v>1064.3158246531568</v>
      </c>
      <c r="AN14" s="322" t="s">
        <v>570</v>
      </c>
      <c r="AO14" s="356">
        <f>'79-tone Qanun Layout'!J83</f>
        <v>1079.4358687887172</v>
      </c>
    </row>
    <row r="15" spans="1:41" ht="13.5" thickTop="1">
      <c r="A15" s="198">
        <v>13</v>
      </c>
      <c r="B15" s="202" t="s">
        <v>498</v>
      </c>
      <c r="C15" s="378">
        <f>'79-tone Qanun Layout'!I51</f>
        <v>589.3424561980788</v>
      </c>
      <c r="D15" s="311" t="s">
        <v>569</v>
      </c>
      <c r="E15" s="344">
        <f>'79-tone Qanun Layout'!I52</f>
        <v>603.3890569808133</v>
      </c>
      <c r="F15" s="311" t="s">
        <v>569</v>
      </c>
      <c r="G15" s="344">
        <f>'79-tone Qanun Layout'!I53</f>
        <v>619.6339996924913</v>
      </c>
      <c r="H15" s="311" t="s">
        <v>569</v>
      </c>
      <c r="I15" s="344">
        <f>'79-tone Qanun Layout'!I54</f>
        <v>634.5833072203469</v>
      </c>
      <c r="J15" s="344" t="s">
        <v>569</v>
      </c>
      <c r="K15" s="344">
        <f>'79-tone Qanun Layout'!I55</f>
        <v>649.4046309601929</v>
      </c>
      <c r="L15" s="344" t="s">
        <v>569</v>
      </c>
      <c r="M15" s="344">
        <f>'79-tone Qanun Layout'!I56</f>
        <v>665.2254177489119</v>
      </c>
      <c r="N15" s="344" t="s">
        <v>569</v>
      </c>
      <c r="O15" s="344">
        <f>'79-tone Qanun Layout'!I57</f>
        <v>679.7878087796129</v>
      </c>
      <c r="P15" s="344" t="s">
        <v>569</v>
      </c>
      <c r="Q15" s="348">
        <f>'79-tone Qanun Layout'!I58</f>
        <v>701.9550008653873</v>
      </c>
      <c r="R15" s="311" t="s">
        <v>570</v>
      </c>
      <c r="S15" s="344">
        <f>'79-tone Qanun Layout'!I59</f>
        <v>717.3048649998337</v>
      </c>
      <c r="T15" s="344" t="s">
        <v>570</v>
      </c>
      <c r="U15" s="344">
        <f>'79-tone Qanun Layout'!I60</f>
        <v>732.5198258847294</v>
      </c>
      <c r="V15" s="344" t="s">
        <v>570</v>
      </c>
      <c r="W15" s="344">
        <f>'79-tone Qanun Layout'!I61</f>
        <v>747.6022340883961</v>
      </c>
      <c r="X15" s="344" t="s">
        <v>570</v>
      </c>
      <c r="Y15" s="344">
        <f>'79-tone Qanun Layout'!I62</f>
        <v>762.554379274556</v>
      </c>
      <c r="Z15" s="344" t="s">
        <v>570</v>
      </c>
      <c r="AA15" s="344">
        <f>'79-tone Qanun Layout'!I63</f>
        <v>777.3784922884254</v>
      </c>
      <c r="AB15" s="344" t="s">
        <v>570</v>
      </c>
      <c r="AC15" s="343">
        <f>'79-tone Qanun Layout'!I64</f>
        <v>792.0767471542501</v>
      </c>
      <c r="AD15" s="344" t="s">
        <v>570</v>
      </c>
      <c r="AE15" s="311">
        <f>'79-tone Qanun Layout'!I65</f>
        <v>807.6876198284851</v>
      </c>
      <c r="AF15" s="311" t="s">
        <v>570</v>
      </c>
      <c r="AG15" s="311">
        <f>'79-tone Qanun Layout'!I66</f>
        <v>822.1318494381247</v>
      </c>
      <c r="AH15" s="322" t="s">
        <v>570</v>
      </c>
      <c r="AI15" s="346">
        <f>'79-tone Qanun Layout'!I67</f>
        <v>837.4752353851366</v>
      </c>
      <c r="AJ15" s="322" t="s">
        <v>570</v>
      </c>
      <c r="AK15" s="346">
        <f>'79-tone Qanun Layout'!I68</f>
        <v>852.6838314272693</v>
      </c>
      <c r="AL15" s="322" t="s">
        <v>570</v>
      </c>
      <c r="AM15" s="346">
        <f>'79-tone Qanun Layout'!I69</f>
        <v>867.759985183964</v>
      </c>
      <c r="AN15" s="322" t="s">
        <v>570</v>
      </c>
      <c r="AO15" s="347">
        <f>'79-tone Qanun Layout'!I70</f>
        <v>882.7059834714771</v>
      </c>
    </row>
    <row r="16" spans="1:41" ht="12.75">
      <c r="A16" s="198">
        <v>14</v>
      </c>
      <c r="B16" s="202" t="s">
        <v>497</v>
      </c>
      <c r="C16" s="349">
        <f>'79-tone Qanun Layout'!H38</f>
        <v>392.9088991706575</v>
      </c>
      <c r="D16" s="311" t="s">
        <v>569</v>
      </c>
      <c r="E16" s="344">
        <f>'79-tone Qanun Layout'!H39</f>
        <v>408.63558459929163</v>
      </c>
      <c r="F16" s="311" t="s">
        <v>569</v>
      </c>
      <c r="G16" s="344">
        <f>'79-tone Qanun Layout'!H40</f>
        <v>422.9272789248129</v>
      </c>
      <c r="H16" s="311" t="s">
        <v>569</v>
      </c>
      <c r="I16" s="344">
        <f>'79-tone Qanun Layout'!H41</f>
        <v>438.38482848089143</v>
      </c>
      <c r="J16" s="344" t="s">
        <v>569</v>
      </c>
      <c r="K16" s="344">
        <f>'79-tone Qanun Layout'!H42</f>
        <v>453.7055837695451</v>
      </c>
      <c r="L16" s="344" t="s">
        <v>569</v>
      </c>
      <c r="M16" s="344">
        <f>'79-tone Qanun Layout'!H43</f>
        <v>468.89194473678</v>
      </c>
      <c r="N16" s="344" t="s">
        <v>569</v>
      </c>
      <c r="O16" s="344">
        <f>'79-tone Qanun Layout'!H44</f>
        <v>483.9462487197161</v>
      </c>
      <c r="P16" s="344" t="s">
        <v>569</v>
      </c>
      <c r="Q16" s="329">
        <f>'79-tone Qanun Layout'!H45</f>
        <v>498.0449991346107</v>
      </c>
      <c r="R16" s="311" t="s">
        <v>570</v>
      </c>
      <c r="S16" s="344">
        <f>'79-tone Qanun Layout'!H46</f>
        <v>513.667734898447</v>
      </c>
      <c r="T16" s="344" t="s">
        <v>570</v>
      </c>
      <c r="U16" s="344">
        <f>'79-tone Qanun Layout'!H47</f>
        <v>528.339297698358</v>
      </c>
      <c r="V16" s="344" t="s">
        <v>570</v>
      </c>
      <c r="W16" s="344">
        <f>'79-tone Qanun Layout'!H48</f>
        <v>544.0944240307199</v>
      </c>
      <c r="X16" s="344" t="s">
        <v>570</v>
      </c>
      <c r="Y16" s="344">
        <f>'79-tone Qanun Layout'!H49</f>
        <v>558.5114459931292</v>
      </c>
      <c r="Z16" s="344" t="s">
        <v>570</v>
      </c>
      <c r="AA16" s="344">
        <f>'79-tone Qanun Layout'!H50</f>
        <v>573.9955826759152</v>
      </c>
      <c r="AB16" s="344" t="s">
        <v>570</v>
      </c>
      <c r="AC16" s="379">
        <f>'79-tone Qanun Layout'!H51</f>
        <v>589.3424561980788</v>
      </c>
      <c r="AD16" s="344" t="s">
        <v>570</v>
      </c>
      <c r="AE16" s="311">
        <f>'79-tone Qanun Layout'!H52</f>
        <v>603.3890569808133</v>
      </c>
      <c r="AF16" s="311" t="s">
        <v>570</v>
      </c>
      <c r="AG16" s="311">
        <f>'79-tone Qanun Layout'!H53</f>
        <v>619.6339996924913</v>
      </c>
      <c r="AH16" s="322" t="s">
        <v>570</v>
      </c>
      <c r="AI16" s="346">
        <f>'79-tone Qanun Layout'!H54</f>
        <v>634.5833072203469</v>
      </c>
      <c r="AJ16" s="322" t="s">
        <v>570</v>
      </c>
      <c r="AK16" s="346">
        <f>'79-tone Qanun Layout'!H55</f>
        <v>649.4046309601929</v>
      </c>
      <c r="AL16" s="322" t="s">
        <v>570</v>
      </c>
      <c r="AM16" s="346">
        <f>'79-tone Qanun Layout'!H56</f>
        <v>665.2254177489119</v>
      </c>
      <c r="AN16" s="322" t="s">
        <v>570</v>
      </c>
      <c r="AO16" s="347">
        <f>'79-tone Qanun Layout'!H57</f>
        <v>679.7878087796129</v>
      </c>
    </row>
    <row r="17" spans="1:41" ht="12.75">
      <c r="A17" s="198">
        <v>15</v>
      </c>
      <c r="B17" s="202" t="s">
        <v>495</v>
      </c>
      <c r="C17" s="378">
        <f>'79-tone Qanun Layout'!G31</f>
        <v>287.0481401267034</v>
      </c>
      <c r="D17" s="311" t="s">
        <v>569</v>
      </c>
      <c r="E17" s="344">
        <f>'79-tone Qanun Layout'!G32</f>
        <v>302.3750607897577</v>
      </c>
      <c r="F17" s="311" t="s">
        <v>569</v>
      </c>
      <c r="G17" s="344">
        <f>'79-tone Qanun Layout'!G33</f>
        <v>317.5674794178793</v>
      </c>
      <c r="H17" s="311" t="s">
        <v>569</v>
      </c>
      <c r="I17" s="344">
        <f>'79-tone Qanun Layout'!G34</f>
        <v>332.6277361464936</v>
      </c>
      <c r="J17" s="344" t="s">
        <v>569</v>
      </c>
      <c r="K17" s="344">
        <f>'79-tone Qanun Layout'!G35</f>
        <v>347.55811056503546</v>
      </c>
      <c r="L17" s="344" t="s">
        <v>569</v>
      </c>
      <c r="M17" s="344">
        <f>'79-tone Qanun Layout'!G36</f>
        <v>362.3608237877697</v>
      </c>
      <c r="N17" s="344" t="s">
        <v>569</v>
      </c>
      <c r="O17" s="344">
        <f>'79-tone Qanun Layout'!G37</f>
        <v>378.3661832323527</v>
      </c>
      <c r="P17" s="344" t="s">
        <v>569</v>
      </c>
      <c r="Q17" s="329">
        <f>'79-tone Qanun Layout'!G38</f>
        <v>392.9088991706575</v>
      </c>
      <c r="R17" s="311" t="s">
        <v>570</v>
      </c>
      <c r="S17" s="344">
        <f>'79-tone Qanun Layout'!G39</f>
        <v>408.63558459929163</v>
      </c>
      <c r="T17" s="344" t="s">
        <v>570</v>
      </c>
      <c r="U17" s="344">
        <f>'79-tone Qanun Layout'!G40</f>
        <v>422.9272789248129</v>
      </c>
      <c r="V17" s="344" t="s">
        <v>570</v>
      </c>
      <c r="W17" s="344">
        <f>'79-tone Qanun Layout'!G41</f>
        <v>438.38482848089143</v>
      </c>
      <c r="X17" s="344" t="s">
        <v>570</v>
      </c>
      <c r="Y17" s="344">
        <f>'79-tone Qanun Layout'!G42</f>
        <v>453.7055837695451</v>
      </c>
      <c r="Z17" s="344" t="s">
        <v>570</v>
      </c>
      <c r="AA17" s="344">
        <f>'79-tone Qanun Layout'!G43</f>
        <v>468.89194473678</v>
      </c>
      <c r="AB17" s="344" t="s">
        <v>570</v>
      </c>
      <c r="AC17" s="311">
        <f>'79-tone Qanun Layout'!G44</f>
        <v>483.9462487197161</v>
      </c>
      <c r="AD17" s="344" t="s">
        <v>570</v>
      </c>
      <c r="AE17" s="345">
        <f>'79-tone Qanun Layout'!G45</f>
        <v>498.0449991346107</v>
      </c>
      <c r="AF17" s="311" t="s">
        <v>570</v>
      </c>
      <c r="AG17" s="311">
        <f>'79-tone Qanun Layout'!G46</f>
        <v>513.667734898447</v>
      </c>
      <c r="AH17" s="322" t="s">
        <v>570</v>
      </c>
      <c r="AI17" s="346">
        <f>'79-tone Qanun Layout'!G47</f>
        <v>528.339297698358</v>
      </c>
      <c r="AJ17" s="322" t="s">
        <v>570</v>
      </c>
      <c r="AK17" s="346">
        <f>'79-tone Qanun Layout'!G48</f>
        <v>544.0944240307199</v>
      </c>
      <c r="AL17" s="322" t="s">
        <v>570</v>
      </c>
      <c r="AM17" s="346">
        <f>'79-tone Qanun Layout'!G49</f>
        <v>558.5114459931292</v>
      </c>
      <c r="AN17" s="322" t="s">
        <v>570</v>
      </c>
      <c r="AO17" s="347">
        <f>'79-tone Qanun Layout'!G50</f>
        <v>573.9955826759152</v>
      </c>
    </row>
    <row r="18" spans="1:41" ht="13.5" thickBot="1">
      <c r="A18" s="198">
        <v>16</v>
      </c>
      <c r="B18" s="202" t="s">
        <v>494</v>
      </c>
      <c r="C18" s="378">
        <f>'79-tone Qanun Layout'!F18</f>
        <v>91.68918328961222</v>
      </c>
      <c r="D18" s="311" t="s">
        <v>569</v>
      </c>
      <c r="E18" s="344">
        <f>'79-tone Qanun Layout'!F19</f>
        <v>105.7326189630977</v>
      </c>
      <c r="F18" s="311" t="s">
        <v>569</v>
      </c>
      <c r="G18" s="344">
        <f>'79-tone Qanun Layout'!F20</f>
        <v>121.2039824201709</v>
      </c>
      <c r="H18" s="311" t="s">
        <v>569</v>
      </c>
      <c r="I18" s="344">
        <f>'79-tone Qanun Layout'!F21</f>
        <v>136.53830808573417</v>
      </c>
      <c r="J18" s="344" t="s">
        <v>569</v>
      </c>
      <c r="K18" s="344">
        <f>'79-tone Qanun Layout'!F22</f>
        <v>151.73800228912688</v>
      </c>
      <c r="L18" s="344" t="s">
        <v>569</v>
      </c>
      <c r="M18" s="344">
        <f>'79-tone Qanun Layout'!F23</f>
        <v>166.8054085296385</v>
      </c>
      <c r="N18" s="344" t="s">
        <v>569</v>
      </c>
      <c r="O18" s="344">
        <f>'79-tone Qanun Layout'!F24</f>
        <v>181.74280964500016</v>
      </c>
      <c r="P18" s="344" t="s">
        <v>569</v>
      </c>
      <c r="Q18" s="348">
        <f>'79-tone Qanun Layout'!F25</f>
        <v>196.55242988712212</v>
      </c>
      <c r="R18" s="311" t="s">
        <v>570</v>
      </c>
      <c r="S18" s="344">
        <f>'79-tone Qanun Layout'!F26</f>
        <v>211.23643690979958</v>
      </c>
      <c r="T18" s="344" t="s">
        <v>570</v>
      </c>
      <c r="U18" s="344">
        <f>'79-tone Qanun Layout'!F27</f>
        <v>227.24628159679278</v>
      </c>
      <c r="V18" s="344" t="s">
        <v>570</v>
      </c>
      <c r="W18" s="344">
        <f>'79-tone Qanun Layout'!F28</f>
        <v>241.67331549584844</v>
      </c>
      <c r="X18" s="344" t="s">
        <v>570</v>
      </c>
      <c r="Y18" s="344">
        <f>'79-tone Qanun Layout'!F29</f>
        <v>257.4054142873622</v>
      </c>
      <c r="Z18" s="344" t="s">
        <v>570</v>
      </c>
      <c r="AA18" s="344">
        <f>'79-tone Qanun Layout'!F30</f>
        <v>271.58431458399735</v>
      </c>
      <c r="AB18" s="344" t="s">
        <v>570</v>
      </c>
      <c r="AC18" s="379">
        <f>'79-tone Qanun Layout'!F31</f>
        <v>287.0481401267034</v>
      </c>
      <c r="AD18" s="344" t="s">
        <v>570</v>
      </c>
      <c r="AE18" s="344">
        <f>'79-tone Qanun Layout'!F32</f>
        <v>302.3750607897577</v>
      </c>
      <c r="AF18" s="311" t="s">
        <v>570</v>
      </c>
      <c r="AG18" s="344">
        <f>'79-tone Qanun Layout'!F33</f>
        <v>317.5674794178793</v>
      </c>
      <c r="AH18" s="322" t="s">
        <v>570</v>
      </c>
      <c r="AI18" s="346">
        <f>'79-tone Qanun Layout'!F34</f>
        <v>332.6277361464936</v>
      </c>
      <c r="AJ18" s="322" t="s">
        <v>570</v>
      </c>
      <c r="AK18" s="346">
        <f>'79-tone Qanun Layout'!F35</f>
        <v>347.55811056503546</v>
      </c>
      <c r="AL18" s="322" t="s">
        <v>570</v>
      </c>
      <c r="AM18" s="346">
        <f>'79-tone Qanun Layout'!F36</f>
        <v>362.3608237877697</v>
      </c>
      <c r="AN18" s="322" t="s">
        <v>570</v>
      </c>
      <c r="AO18" s="347">
        <f>'79-tone Qanun Layout'!F37</f>
        <v>378.3661832323527</v>
      </c>
    </row>
    <row r="19" spans="1:41" ht="14.25" thickBot="1" thickTop="1">
      <c r="A19" s="198">
        <v>17</v>
      </c>
      <c r="B19" s="220" t="s">
        <v>481</v>
      </c>
      <c r="C19" s="380">
        <f>'79-tone Qanun Layout'!J101</f>
        <v>-106.45312859275737</v>
      </c>
      <c r="D19" s="360" t="s">
        <v>569</v>
      </c>
      <c r="E19" s="361">
        <f>'79-tone Qanun Layout'!J102</f>
        <v>-90.71452884444761</v>
      </c>
      <c r="F19" s="360" t="s">
        <v>569</v>
      </c>
      <c r="G19" s="361">
        <f>'79-tone Qanun Layout'!J103</f>
        <v>-75.98053311032345</v>
      </c>
      <c r="H19" s="360" t="s">
        <v>569</v>
      </c>
      <c r="I19" s="361">
        <f>'79-tone Qanun Layout'!J104</f>
        <v>-60.515312211768105</v>
      </c>
      <c r="J19" s="360" t="s">
        <v>569</v>
      </c>
      <c r="K19" s="361">
        <f>'79-tone Qanun Layout'!J105</f>
        <v>-46.03504140567725</v>
      </c>
      <c r="L19" s="360" t="s">
        <v>569</v>
      </c>
      <c r="M19" s="361">
        <f>'79-tone Qanun Layout'!J106</f>
        <v>-30.83386428623521</v>
      </c>
      <c r="N19" s="360" t="s">
        <v>569</v>
      </c>
      <c r="O19" s="361">
        <f>'79-tone Qanun Layout'!J107</f>
        <v>-15.765000831363068</v>
      </c>
      <c r="P19" s="360" t="s">
        <v>569</v>
      </c>
      <c r="Q19" s="362">
        <f>'79-tone Qanun Layout'!J108</f>
        <v>0</v>
      </c>
      <c r="R19" s="360" t="s">
        <v>570</v>
      </c>
      <c r="S19" s="361">
        <f>'79-tone Qanun Layout'!J109</f>
        <v>16.44109269189054</v>
      </c>
      <c r="T19" s="360" t="s">
        <v>570</v>
      </c>
      <c r="U19" s="361">
        <f>'79-tone Qanun Layout'!J110</f>
        <v>31.105751144369663</v>
      </c>
      <c r="V19" s="360" t="s">
        <v>570</v>
      </c>
      <c r="W19" s="361">
        <f>'79-tone Qanun Layout'!J111</f>
        <v>45.647233223008804</v>
      </c>
      <c r="X19" s="360" t="s">
        <v>570</v>
      </c>
      <c r="Y19" s="361">
        <f>'79-tone Qanun Layout'!J112</f>
        <v>60.067590953269544</v>
      </c>
      <c r="Z19" s="360" t="s">
        <v>570</v>
      </c>
      <c r="AA19" s="361">
        <f>'79-tone Qanun Layout'!J113</f>
        <v>75.95058354130245</v>
      </c>
      <c r="AB19" s="360" t="s">
        <v>570</v>
      </c>
      <c r="AC19" s="363">
        <f>'79-tone Qanun Layout'!J114</f>
        <v>91.68918328961222</v>
      </c>
      <c r="AD19" s="360" t="s">
        <v>570</v>
      </c>
      <c r="AE19" s="361">
        <f>'79-tone Qanun Layout'!J115</f>
        <v>105.7326189630977</v>
      </c>
      <c r="AF19" s="360" t="s">
        <v>570</v>
      </c>
      <c r="AG19" s="361">
        <f>'79-tone Qanun Layout'!J116</f>
        <v>121.2039824201709</v>
      </c>
      <c r="AH19" s="322" t="s">
        <v>570</v>
      </c>
      <c r="AI19" s="364">
        <f>'79-tone Qanun Layout'!J117</f>
        <v>136.53830808573417</v>
      </c>
      <c r="AJ19" s="322" t="s">
        <v>570</v>
      </c>
      <c r="AK19" s="364">
        <f>'79-tone Qanun Layout'!J118</f>
        <v>151.73800228912688</v>
      </c>
      <c r="AL19" s="322" t="s">
        <v>570</v>
      </c>
      <c r="AM19" s="364">
        <f>'79-tone Qanun Layout'!J119</f>
        <v>166.8054085296385</v>
      </c>
      <c r="AN19" s="322" t="s">
        <v>570</v>
      </c>
      <c r="AO19" s="365">
        <f>'79-tone Qanun Layout'!J120</f>
        <v>181.74280964500016</v>
      </c>
    </row>
    <row r="20" spans="1:41" ht="13.5" thickTop="1">
      <c r="A20" s="198">
        <v>18</v>
      </c>
      <c r="B20" s="202" t="s">
        <v>480</v>
      </c>
      <c r="C20" s="378">
        <f>'79-tone Qanun Layout'!I94</f>
        <v>-211.4634360351415</v>
      </c>
      <c r="D20" s="311" t="s">
        <v>569</v>
      </c>
      <c r="E20" s="344">
        <f>'79-tone Qanun Layout'!I95</f>
        <v>-196.49218203120802</v>
      </c>
      <c r="F20" s="311" t="s">
        <v>569</v>
      </c>
      <c r="G20" s="344">
        <f>'79-tone Qanun Layout'!I96</f>
        <v>-180.935942610731</v>
      </c>
      <c r="H20" s="311" t="s">
        <v>569</v>
      </c>
      <c r="I20" s="344">
        <f>'79-tone Qanun Layout'!I97</f>
        <v>-166.32628587540808</v>
      </c>
      <c r="J20" s="344" t="s">
        <v>569</v>
      </c>
      <c r="K20" s="344">
        <f>'79-tone Qanun Layout'!I98</f>
        <v>-150.9374374463075</v>
      </c>
      <c r="L20" s="344" t="s">
        <v>569</v>
      </c>
      <c r="M20" s="344">
        <f>'79-tone Qanun Layout'!I99</f>
        <v>-135.68417534684318</v>
      </c>
      <c r="N20" s="344" t="s">
        <v>569</v>
      </c>
      <c r="O20" s="344">
        <f>'79-tone Qanun Layout'!I100</f>
        <v>-120.56413121128276</v>
      </c>
      <c r="P20" s="344" t="s">
        <v>569</v>
      </c>
      <c r="Q20" s="329">
        <f>'79-tone Qanun Layout'!I101</f>
        <v>-106.45312859275737</v>
      </c>
      <c r="R20" s="311" t="s">
        <v>570</v>
      </c>
      <c r="S20" s="344">
        <f>'79-tone Qanun Layout'!I102</f>
        <v>-90.71452884444761</v>
      </c>
      <c r="T20" s="344" t="s">
        <v>570</v>
      </c>
      <c r="U20" s="344">
        <f>'79-tone Qanun Layout'!I103</f>
        <v>-75.98053311032345</v>
      </c>
      <c r="V20" s="344" t="s">
        <v>570</v>
      </c>
      <c r="W20" s="344">
        <f>'79-tone Qanun Layout'!I104</f>
        <v>-60.515312211768105</v>
      </c>
      <c r="X20" s="344" t="s">
        <v>570</v>
      </c>
      <c r="Y20" s="344">
        <f>'79-tone Qanun Layout'!I105</f>
        <v>-46.03504140567725</v>
      </c>
      <c r="Z20" s="344" t="s">
        <v>570</v>
      </c>
      <c r="AA20" s="344">
        <f>'79-tone Qanun Layout'!I106</f>
        <v>-30.83386428623521</v>
      </c>
      <c r="AB20" s="344" t="s">
        <v>570</v>
      </c>
      <c r="AC20" s="311">
        <f>'79-tone Qanun Layout'!I107</f>
        <v>-15.765000831363068</v>
      </c>
      <c r="AD20" s="344" t="s">
        <v>570</v>
      </c>
      <c r="AE20" s="345">
        <f>'79-tone Qanun Layout'!I108</f>
        <v>0</v>
      </c>
      <c r="AF20" s="311" t="s">
        <v>570</v>
      </c>
      <c r="AG20" s="311">
        <f>'79-tone Qanun Layout'!I109</f>
        <v>16.44109269189054</v>
      </c>
      <c r="AH20" s="322" t="s">
        <v>570</v>
      </c>
      <c r="AI20" s="346">
        <f>'79-tone Qanun Layout'!I110</f>
        <v>31.105751144369663</v>
      </c>
      <c r="AJ20" s="322" t="s">
        <v>570</v>
      </c>
      <c r="AK20" s="346">
        <f>'79-tone Qanun Layout'!I111</f>
        <v>45.647233223008804</v>
      </c>
      <c r="AL20" s="322" t="s">
        <v>570</v>
      </c>
      <c r="AM20" s="346">
        <f>'79-tone Qanun Layout'!I112</f>
        <v>60.067590953269544</v>
      </c>
      <c r="AN20" s="322" t="s">
        <v>570</v>
      </c>
      <c r="AO20" s="347">
        <f>'79-tone Qanun Layout'!I113</f>
        <v>75.95058354130245</v>
      </c>
    </row>
    <row r="21" spans="1:41" ht="12.75">
      <c r="A21" s="198">
        <v>19</v>
      </c>
      <c r="B21" s="202" t="s">
        <v>479</v>
      </c>
      <c r="C21" s="378">
        <f>'79-tone Qanun Layout'!H81</f>
        <v>-407.92325284574986</v>
      </c>
      <c r="D21" s="311" t="s">
        <v>569</v>
      </c>
      <c r="E21" s="344">
        <f>'79-tone Qanun Layout'!H82</f>
        <v>-392.31238017151486</v>
      </c>
      <c r="F21" s="311" t="s">
        <v>569</v>
      </c>
      <c r="G21" s="344">
        <f>'79-tone Qanun Layout'!H83</f>
        <v>-377.86815056187527</v>
      </c>
      <c r="H21" s="311" t="s">
        <v>569</v>
      </c>
      <c r="I21" s="344">
        <f>'79-tone Qanun Layout'!H84</f>
        <v>-362.52476461486344</v>
      </c>
      <c r="J21" s="344" t="s">
        <v>569</v>
      </c>
      <c r="K21" s="344">
        <f>'79-tone Qanun Layout'!H85</f>
        <v>-347.3161685727307</v>
      </c>
      <c r="L21" s="344" t="s">
        <v>569</v>
      </c>
      <c r="M21" s="344">
        <f>'79-tone Qanun Layout'!H86</f>
        <v>-332.240014816036</v>
      </c>
      <c r="N21" s="344" t="s">
        <v>569</v>
      </c>
      <c r="O21" s="344">
        <f>'79-tone Qanun Layout'!H87</f>
        <v>-317.2940165285229</v>
      </c>
      <c r="P21" s="344" t="s">
        <v>569</v>
      </c>
      <c r="Q21" s="348">
        <f>'79-tone Qanun Layout'!H88</f>
        <v>-302.4759456153489</v>
      </c>
      <c r="R21" s="311" t="s">
        <v>570</v>
      </c>
      <c r="S21" s="344">
        <f>'79-tone Qanun Layout'!H89</f>
        <v>-286.80856222481316</v>
      </c>
      <c r="T21" s="344" t="s">
        <v>570</v>
      </c>
      <c r="U21" s="344">
        <f>'79-tone Qanun Layout'!H90</f>
        <v>-272.24805546178686</v>
      </c>
      <c r="V21" s="344" t="s">
        <v>570</v>
      </c>
      <c r="W21" s="344">
        <f>'79-tone Qanun Layout'!H91</f>
        <v>-255.89284694671517</v>
      </c>
      <c r="X21" s="344" t="s">
        <v>570</v>
      </c>
      <c r="Y21" s="344">
        <f>'79-tone Qanun Layout'!H92</f>
        <v>-240.63958484725026</v>
      </c>
      <c r="Z21" s="344" t="s">
        <v>570</v>
      </c>
      <c r="AA21" s="344">
        <f>'79-tone Qanun Layout'!H93</f>
        <v>-226.46068455061504</v>
      </c>
      <c r="AB21" s="344" t="s">
        <v>570</v>
      </c>
      <c r="AC21" s="379">
        <f>'79-tone Qanun Layout'!H94</f>
        <v>-211.4634360351415</v>
      </c>
      <c r="AD21" s="344" t="s">
        <v>570</v>
      </c>
      <c r="AE21" s="311">
        <f>'79-tone Qanun Layout'!H95</f>
        <v>-196.49218203120802</v>
      </c>
      <c r="AF21" s="311" t="s">
        <v>570</v>
      </c>
      <c r="AG21" s="311">
        <f>'79-tone Qanun Layout'!H96</f>
        <v>-180.935942610731</v>
      </c>
      <c r="AH21" s="322" t="s">
        <v>570</v>
      </c>
      <c r="AI21" s="346">
        <f>'79-tone Qanun Layout'!H97</f>
        <v>-166.32628587540808</v>
      </c>
      <c r="AJ21" s="322" t="s">
        <v>570</v>
      </c>
      <c r="AK21" s="346">
        <f>'79-tone Qanun Layout'!H98</f>
        <v>-150.9374374463075</v>
      </c>
      <c r="AL21" s="322" t="s">
        <v>570</v>
      </c>
      <c r="AM21" s="346">
        <f>'79-tone Qanun Layout'!H99</f>
        <v>-135.68417534684318</v>
      </c>
      <c r="AN21" s="322" t="s">
        <v>570</v>
      </c>
      <c r="AO21" s="347">
        <f>'79-tone Qanun Layout'!H100</f>
        <v>-120.56413121128276</v>
      </c>
    </row>
    <row r="22" spans="1:41" ht="12.75">
      <c r="A22" s="198">
        <v>20</v>
      </c>
      <c r="B22" s="202" t="s">
        <v>478</v>
      </c>
      <c r="C22" s="378">
        <f>'79-tone Qanun Layout'!G68</f>
        <v>-610.6575438019212</v>
      </c>
      <c r="D22" s="311" t="s">
        <v>569</v>
      </c>
      <c r="E22" s="344">
        <f>'79-tone Qanun Layout'!G69</f>
        <v>-596.6109430191867</v>
      </c>
      <c r="F22" s="311" t="s">
        <v>569</v>
      </c>
      <c r="G22" s="344">
        <f>'79-tone Qanun Layout'!G70</f>
        <v>-580.3660003075087</v>
      </c>
      <c r="H22" s="311" t="s">
        <v>569</v>
      </c>
      <c r="I22" s="344">
        <f>'79-tone Qanun Layout'!G71</f>
        <v>-565.4166927796531</v>
      </c>
      <c r="J22" s="344" t="s">
        <v>569</v>
      </c>
      <c r="K22" s="344">
        <f>'79-tone Qanun Layout'!G72</f>
        <v>-550.5953690398071</v>
      </c>
      <c r="L22" s="344" t="s">
        <v>569</v>
      </c>
      <c r="M22" s="344">
        <f>'79-tone Qanun Layout'!G73</f>
        <v>-534.7745822510881</v>
      </c>
      <c r="N22" s="344" t="s">
        <v>569</v>
      </c>
      <c r="O22" s="344">
        <f>'79-tone Qanun Layout'!G74</f>
        <v>-520.2121912203871</v>
      </c>
      <c r="P22" s="344" t="s">
        <v>569</v>
      </c>
      <c r="Q22" s="348">
        <f>'79-tone Qanun Layout'!G75</f>
        <v>-498.0449991346127</v>
      </c>
      <c r="R22" s="311" t="s">
        <v>570</v>
      </c>
      <c r="S22" s="344">
        <f>'79-tone Qanun Layout'!G76</f>
        <v>-482.69513500016626</v>
      </c>
      <c r="T22" s="344" t="s">
        <v>570</v>
      </c>
      <c r="U22" s="344">
        <f>'79-tone Qanun Layout'!G77</f>
        <v>-467.48017411527064</v>
      </c>
      <c r="V22" s="344" t="s">
        <v>570</v>
      </c>
      <c r="W22" s="344">
        <f>'79-tone Qanun Layout'!G78</f>
        <v>-452.39776591160387</v>
      </c>
      <c r="X22" s="344" t="s">
        <v>570</v>
      </c>
      <c r="Y22" s="344">
        <f>'79-tone Qanun Layout'!G79</f>
        <v>-437.445620725444</v>
      </c>
      <c r="Z22" s="344" t="s">
        <v>570</v>
      </c>
      <c r="AA22" s="344">
        <f>'79-tone Qanun Layout'!G80</f>
        <v>-422.6215077115746</v>
      </c>
      <c r="AB22" s="344" t="s">
        <v>570</v>
      </c>
      <c r="AC22" s="379">
        <f>'79-tone Qanun Layout'!G81</f>
        <v>-407.92325284574986</v>
      </c>
      <c r="AD22" s="344" t="s">
        <v>570</v>
      </c>
      <c r="AE22" s="311">
        <f>'79-tone Qanun Layout'!G82</f>
        <v>-392.31238017151486</v>
      </c>
      <c r="AF22" s="311" t="s">
        <v>570</v>
      </c>
      <c r="AG22" s="311">
        <f>'79-tone Qanun Layout'!G83</f>
        <v>-377.86815056187527</v>
      </c>
      <c r="AH22" s="322" t="s">
        <v>570</v>
      </c>
      <c r="AI22" s="346">
        <f>'79-tone Qanun Layout'!G84</f>
        <v>-362.52476461486344</v>
      </c>
      <c r="AJ22" s="322" t="s">
        <v>570</v>
      </c>
      <c r="AK22" s="346">
        <f>'79-tone Qanun Layout'!G85</f>
        <v>-347.3161685727307</v>
      </c>
      <c r="AL22" s="322" t="s">
        <v>570</v>
      </c>
      <c r="AM22" s="346">
        <f>'79-tone Qanun Layout'!G86</f>
        <v>-332.240014816036</v>
      </c>
      <c r="AN22" s="322" t="s">
        <v>570</v>
      </c>
      <c r="AO22" s="347">
        <f>'79-tone Qanun Layout'!G87</f>
        <v>-317.2940165285229</v>
      </c>
    </row>
    <row r="23" spans="1:41" ht="12.75">
      <c r="A23" s="198">
        <v>21</v>
      </c>
      <c r="B23" s="202" t="s">
        <v>476</v>
      </c>
      <c r="C23" s="349">
        <f>'79-tone Qanun Layout'!E55</f>
        <v>-807.0911008293425</v>
      </c>
      <c r="D23" s="311" t="s">
        <v>569</v>
      </c>
      <c r="E23" s="311">
        <f>'79-tone Qanun Layout'!F56</f>
        <v>-791.3644154007084</v>
      </c>
      <c r="F23" s="311" t="s">
        <v>569</v>
      </c>
      <c r="G23" s="311">
        <f>'79-tone Qanun Layout'!F57</f>
        <v>-777.072721075187</v>
      </c>
      <c r="H23" s="311" t="s">
        <v>569</v>
      </c>
      <c r="I23" s="311">
        <f>'79-tone Qanun Layout'!F58</f>
        <v>-761.6151715191086</v>
      </c>
      <c r="J23" s="311" t="s">
        <v>569</v>
      </c>
      <c r="K23" s="311">
        <f>'79-tone Qanun Layout'!F59</f>
        <v>-746.2944162304549</v>
      </c>
      <c r="L23" s="311" t="s">
        <v>569</v>
      </c>
      <c r="M23" s="311">
        <f>'79-tone Qanun Layout'!F60</f>
        <v>-731.10805526322</v>
      </c>
      <c r="N23" s="311" t="s">
        <v>569</v>
      </c>
      <c r="O23" s="311">
        <f>'79-tone Qanun Layout'!F61</f>
        <v>-716.0537512802839</v>
      </c>
      <c r="P23" s="311" t="s">
        <v>569</v>
      </c>
      <c r="Q23" s="329">
        <f>'79-tone Qanun Layout'!F62</f>
        <v>-701.9550008653894</v>
      </c>
      <c r="R23" s="311" t="s">
        <v>570</v>
      </c>
      <c r="S23" s="311">
        <f>'79-tone Qanun Layout'!F63</f>
        <v>-686.332265101553</v>
      </c>
      <c r="T23" s="311" t="s">
        <v>570</v>
      </c>
      <c r="U23" s="311">
        <f>'79-tone Qanun Layout'!F64</f>
        <v>-671.660702301642</v>
      </c>
      <c r="V23" s="311" t="s">
        <v>570</v>
      </c>
      <c r="W23" s="311">
        <f>'79-tone Qanun Layout'!F65</f>
        <v>-655.9055759692801</v>
      </c>
      <c r="X23" s="311" t="s">
        <v>570</v>
      </c>
      <c r="Y23" s="311">
        <f>'79-tone Qanun Layout'!F66</f>
        <v>-641.4885540068708</v>
      </c>
      <c r="Z23" s="311" t="s">
        <v>570</v>
      </c>
      <c r="AA23" s="311">
        <f>'79-tone Qanun Layout'!F67</f>
        <v>-626.0044173240848</v>
      </c>
      <c r="AB23" s="311" t="s">
        <v>570</v>
      </c>
      <c r="AC23" s="379">
        <f>'79-tone Qanun Layout'!F68</f>
        <v>-610.6575438019212</v>
      </c>
      <c r="AD23" s="311" t="s">
        <v>570</v>
      </c>
      <c r="AE23" s="311">
        <f>'79-tone Qanun Layout'!F69</f>
        <v>-596.6109430191867</v>
      </c>
      <c r="AF23" s="311" t="s">
        <v>570</v>
      </c>
      <c r="AG23" s="311">
        <f>'79-tone Qanun Layout'!F70</f>
        <v>-580.3660003075087</v>
      </c>
      <c r="AH23" s="322" t="s">
        <v>570</v>
      </c>
      <c r="AI23" s="346">
        <f>'79-tone Qanun Layout'!F71</f>
        <v>-565.4166927796531</v>
      </c>
      <c r="AJ23" s="322" t="s">
        <v>570</v>
      </c>
      <c r="AK23" s="346">
        <f>'79-tone Qanun Layout'!F72</f>
        <v>-550.5953690398071</v>
      </c>
      <c r="AL23" s="322" t="s">
        <v>570</v>
      </c>
      <c r="AM23" s="346">
        <f>'79-tone Qanun Layout'!F73</f>
        <v>-534.7745822510881</v>
      </c>
      <c r="AN23" s="322" t="s">
        <v>570</v>
      </c>
      <c r="AO23" s="347">
        <f>'79-tone Qanun Layout'!F74</f>
        <v>-520.2121912203871</v>
      </c>
    </row>
    <row r="24" spans="1:41" ht="12.75">
      <c r="A24" s="198">
        <v>22</v>
      </c>
      <c r="B24" s="202" t="s">
        <v>477</v>
      </c>
      <c r="C24" s="378">
        <f>'79-tone Qanun Layout'!E48</f>
        <v>-912.9518598732966</v>
      </c>
      <c r="D24" s="311" t="s">
        <v>569</v>
      </c>
      <c r="E24" s="311">
        <f>'79-tone Qanun Layout'!E49</f>
        <v>-897.6249392102422</v>
      </c>
      <c r="F24" s="311" t="s">
        <v>569</v>
      </c>
      <c r="G24" s="311">
        <f>'79-tone Qanun Layout'!E50</f>
        <v>-882.4325205821207</v>
      </c>
      <c r="H24" s="311" t="s">
        <v>569</v>
      </c>
      <c r="I24" s="311">
        <f>'79-tone Qanun Layout'!E51</f>
        <v>-867.3722638535064</v>
      </c>
      <c r="J24" s="311" t="s">
        <v>569</v>
      </c>
      <c r="K24" s="311">
        <f>'79-tone Qanun Layout'!E52</f>
        <v>-852.4418894349645</v>
      </c>
      <c r="L24" s="311" t="s">
        <v>569</v>
      </c>
      <c r="M24" s="311">
        <f>'79-tone Qanun Layout'!E53</f>
        <v>-837.6391762122303</v>
      </c>
      <c r="N24" s="311" t="s">
        <v>569</v>
      </c>
      <c r="O24" s="311">
        <f>'79-tone Qanun Layout'!E54</f>
        <v>-821.6338167676473</v>
      </c>
      <c r="P24" s="311" t="s">
        <v>569</v>
      </c>
      <c r="Q24" s="329">
        <f>'79-tone Qanun Layout'!E55</f>
        <v>-807.0911008293425</v>
      </c>
      <c r="R24" s="311" t="s">
        <v>570</v>
      </c>
      <c r="S24" s="311">
        <f>'79-tone Qanun Layout'!E56</f>
        <v>-791.3644154007084</v>
      </c>
      <c r="T24" s="311" t="s">
        <v>570</v>
      </c>
      <c r="U24" s="311">
        <f>'79-tone Qanun Layout'!E57</f>
        <v>-777.072721075187</v>
      </c>
      <c r="V24" s="311" t="s">
        <v>570</v>
      </c>
      <c r="W24" s="311">
        <f>'79-tone Qanun Layout'!E58</f>
        <v>-761.6151715191086</v>
      </c>
      <c r="X24" s="311" t="s">
        <v>570</v>
      </c>
      <c r="Y24" s="311">
        <f>'79-tone Qanun Layout'!E59</f>
        <v>-746.2944162304549</v>
      </c>
      <c r="Z24" s="311" t="s">
        <v>570</v>
      </c>
      <c r="AA24" s="311">
        <f>'79-tone Qanun Layout'!E60</f>
        <v>-731.10805526322</v>
      </c>
      <c r="AB24" s="311" t="s">
        <v>570</v>
      </c>
      <c r="AC24" s="311">
        <f>'79-tone Qanun Layout'!E61</f>
        <v>-716.0537512802839</v>
      </c>
      <c r="AD24" s="311" t="s">
        <v>570</v>
      </c>
      <c r="AE24" s="345">
        <f>'79-tone Qanun Layout'!E62</f>
        <v>-701.9550008653894</v>
      </c>
      <c r="AF24" s="311" t="s">
        <v>570</v>
      </c>
      <c r="AG24" s="311">
        <f>'79-tone Qanun Layout'!E63</f>
        <v>-686.332265101553</v>
      </c>
      <c r="AH24" s="322" t="s">
        <v>570</v>
      </c>
      <c r="AI24" s="346">
        <f>'79-tone Qanun Layout'!E64</f>
        <v>-671.660702301642</v>
      </c>
      <c r="AJ24" s="322" t="s">
        <v>570</v>
      </c>
      <c r="AK24" s="346">
        <f>'79-tone Qanun Layout'!E65</f>
        <v>-655.9055759692801</v>
      </c>
      <c r="AL24" s="322" t="s">
        <v>570</v>
      </c>
      <c r="AM24" s="346">
        <f>'79-tone Qanun Layout'!E66</f>
        <v>-641.4885540068708</v>
      </c>
      <c r="AN24" s="322" t="s">
        <v>570</v>
      </c>
      <c r="AO24" s="347">
        <f>'79-tone Qanun Layout'!E67</f>
        <v>-626.0044173240848</v>
      </c>
    </row>
    <row r="25" spans="1:41" ht="12.75">
      <c r="A25" s="198">
        <v>23</v>
      </c>
      <c r="B25" s="202" t="s">
        <v>475</v>
      </c>
      <c r="C25" s="378">
        <f>'79-tone Qanun Layout'!D35</f>
        <v>-1108.3108167103878</v>
      </c>
      <c r="D25" s="311" t="s">
        <v>569</v>
      </c>
      <c r="E25" s="311">
        <f>'79-tone Qanun Layout'!D36</f>
        <v>-1094.2673810369024</v>
      </c>
      <c r="F25" s="311" t="s">
        <v>569</v>
      </c>
      <c r="G25" s="311">
        <f>'79-tone Qanun Layout'!D37</f>
        <v>-1078.7960175798291</v>
      </c>
      <c r="H25" s="311" t="s">
        <v>569</v>
      </c>
      <c r="I25" s="311">
        <f>'79-tone Qanun Layout'!D38</f>
        <v>-1063.4616919142659</v>
      </c>
      <c r="J25" s="311" t="s">
        <v>569</v>
      </c>
      <c r="K25" s="311">
        <f>'79-tone Qanun Layout'!D39</f>
        <v>-1048.2619977108732</v>
      </c>
      <c r="L25" s="311" t="s">
        <v>569</v>
      </c>
      <c r="M25" s="311">
        <f>'79-tone Qanun Layout'!D40</f>
        <v>-1033.1945914703615</v>
      </c>
      <c r="N25" s="311" t="s">
        <v>569</v>
      </c>
      <c r="O25" s="311">
        <f>'79-tone Qanun Layout'!D41</f>
        <v>-1018.2571903549998</v>
      </c>
      <c r="P25" s="311" t="s">
        <v>569</v>
      </c>
      <c r="Q25" s="348">
        <f>'79-tone Qanun Layout'!D42</f>
        <v>-1003.4475701128779</v>
      </c>
      <c r="R25" s="311" t="s">
        <v>570</v>
      </c>
      <c r="S25" s="311">
        <f>'79-tone Qanun Layout'!D43</f>
        <v>-988.7635630902005</v>
      </c>
      <c r="T25" s="311" t="s">
        <v>570</v>
      </c>
      <c r="U25" s="311">
        <f>'79-tone Qanun Layout'!D44</f>
        <v>-972.7537184032072</v>
      </c>
      <c r="V25" s="311" t="s">
        <v>570</v>
      </c>
      <c r="W25" s="311">
        <f>'79-tone Qanun Layout'!D45</f>
        <v>-958.3266845041516</v>
      </c>
      <c r="X25" s="311" t="s">
        <v>570</v>
      </c>
      <c r="Y25" s="311">
        <f>'79-tone Qanun Layout'!D46</f>
        <v>-942.5945857126378</v>
      </c>
      <c r="Z25" s="311" t="s">
        <v>570</v>
      </c>
      <c r="AA25" s="311">
        <f>'79-tone Qanun Layout'!D47</f>
        <v>-928.4156854160026</v>
      </c>
      <c r="AB25" s="311" t="s">
        <v>570</v>
      </c>
      <c r="AC25" s="379">
        <f>'79-tone Qanun Layout'!D48</f>
        <v>-912.9518598732966</v>
      </c>
      <c r="AD25" s="311" t="s">
        <v>570</v>
      </c>
      <c r="AE25" s="311">
        <f>'79-tone Qanun Layout'!D49</f>
        <v>-897.6249392102422</v>
      </c>
      <c r="AF25" s="311" t="s">
        <v>570</v>
      </c>
      <c r="AG25" s="311">
        <f>'79-tone Qanun Layout'!D50</f>
        <v>-882.4325205821207</v>
      </c>
      <c r="AH25" s="322" t="s">
        <v>570</v>
      </c>
      <c r="AI25" s="346">
        <f>'79-tone Qanun Layout'!D51</f>
        <v>-867.3722638535064</v>
      </c>
      <c r="AJ25" s="322" t="s">
        <v>570</v>
      </c>
      <c r="AK25" s="346">
        <f>'79-tone Qanun Layout'!D52</f>
        <v>-852.4418894349645</v>
      </c>
      <c r="AL25" s="322" t="s">
        <v>570</v>
      </c>
      <c r="AM25" s="346">
        <f>'79-tone Qanun Layout'!D53</f>
        <v>-837.6391762122303</v>
      </c>
      <c r="AN25" s="322" t="s">
        <v>570</v>
      </c>
      <c r="AO25" s="347">
        <f>'79-tone Qanun Layout'!D54</f>
        <v>-821.6338167676473</v>
      </c>
    </row>
    <row r="26" spans="1:41" ht="12.75">
      <c r="A26" s="198">
        <v>24</v>
      </c>
      <c r="B26" s="202" t="s">
        <v>474</v>
      </c>
      <c r="C26" s="349">
        <f>'79-tone Qanun Layout'!C22</f>
        <v>-1306.4531285927574</v>
      </c>
      <c r="D26" s="311" t="s">
        <v>569</v>
      </c>
      <c r="E26" s="311">
        <f>'79-tone Qanun Layout'!C23</f>
        <v>-1290.7145288444476</v>
      </c>
      <c r="F26" s="311" t="s">
        <v>569</v>
      </c>
      <c r="G26" s="311">
        <f>'79-tone Qanun Layout'!C24</f>
        <v>-1275.9805331103234</v>
      </c>
      <c r="H26" s="311" t="s">
        <v>569</v>
      </c>
      <c r="I26" s="311">
        <f>'79-tone Qanun Layout'!C25</f>
        <v>-1260.515312211768</v>
      </c>
      <c r="J26" s="311" t="s">
        <v>569</v>
      </c>
      <c r="K26" s="311">
        <f>'79-tone Qanun Layout'!C26</f>
        <v>-1246.0350414056772</v>
      </c>
      <c r="L26" s="311" t="s">
        <v>569</v>
      </c>
      <c r="M26" s="311">
        <f>'79-tone Qanun Layout'!C27</f>
        <v>-1230.8338642862352</v>
      </c>
      <c r="N26" s="311" t="s">
        <v>569</v>
      </c>
      <c r="O26" s="311">
        <f>'79-tone Qanun Layout'!C28</f>
        <v>-1215.765000831363</v>
      </c>
      <c r="P26" s="311" t="s">
        <v>569</v>
      </c>
      <c r="Q26" s="329">
        <f>'79-tone Qanun Layout'!C29</f>
        <v>-1200</v>
      </c>
      <c r="R26" s="311" t="s">
        <v>570</v>
      </c>
      <c r="S26" s="311">
        <f>'79-tone Qanun Layout'!C30</f>
        <v>-1183.5589073081094</v>
      </c>
      <c r="T26" s="311" t="s">
        <v>570</v>
      </c>
      <c r="U26" s="311">
        <f>'79-tone Qanun Layout'!C31</f>
        <v>-1168.8942488556304</v>
      </c>
      <c r="V26" s="311" t="s">
        <v>570</v>
      </c>
      <c r="W26" s="311">
        <f>'79-tone Qanun Layout'!C32</f>
        <v>-1154.3527667769913</v>
      </c>
      <c r="X26" s="311" t="s">
        <v>570</v>
      </c>
      <c r="Y26" s="311">
        <f>'79-tone Qanun Layout'!C33</f>
        <v>-1139.9324090467305</v>
      </c>
      <c r="Z26" s="311" t="s">
        <v>570</v>
      </c>
      <c r="AA26" s="311">
        <f>'79-tone Qanun Layout'!C34</f>
        <v>-1124.0494164586976</v>
      </c>
      <c r="AB26" s="311" t="s">
        <v>570</v>
      </c>
      <c r="AC26" s="379">
        <f>'79-tone Qanun Layout'!C35</f>
        <v>-1108.3108167103878</v>
      </c>
      <c r="AD26" s="311" t="s">
        <v>570</v>
      </c>
      <c r="AE26" s="311">
        <f>'79-tone Qanun Layout'!C36</f>
        <v>-1094.2673810369024</v>
      </c>
      <c r="AF26" s="311" t="s">
        <v>570</v>
      </c>
      <c r="AG26" s="311">
        <f>'79-tone Qanun Layout'!C37</f>
        <v>-1078.7960175798291</v>
      </c>
      <c r="AH26" s="322" t="s">
        <v>570</v>
      </c>
      <c r="AI26" s="346">
        <f>'79-tone Qanun Layout'!C38</f>
        <v>-1063.4616919142659</v>
      </c>
      <c r="AJ26" s="322" t="s">
        <v>570</v>
      </c>
      <c r="AK26" s="346">
        <f>'79-tone Qanun Layout'!C39</f>
        <v>-1048.2619977108732</v>
      </c>
      <c r="AL26" s="322" t="s">
        <v>570</v>
      </c>
      <c r="AM26" s="346">
        <f>'79-tone Qanun Layout'!C40</f>
        <v>-1033.1945914703615</v>
      </c>
      <c r="AN26" s="322" t="s">
        <v>570</v>
      </c>
      <c r="AO26" s="347">
        <f>'79-tone Qanun Layout'!C41</f>
        <v>-1018.2571903549998</v>
      </c>
    </row>
    <row r="27" spans="1:41" ht="12.75">
      <c r="A27" s="198">
        <v>25</v>
      </c>
      <c r="B27" s="202" t="s">
        <v>473</v>
      </c>
      <c r="C27" s="378">
        <f>'79-tone Qanun Layout'!B15</f>
        <v>-1411.4634360351415</v>
      </c>
      <c r="D27" s="311" t="s">
        <v>569</v>
      </c>
      <c r="E27" s="311">
        <f>'79-tone Qanun Layout'!B16</f>
        <v>-1396.492182031208</v>
      </c>
      <c r="F27" s="311" t="s">
        <v>569</v>
      </c>
      <c r="G27" s="311">
        <f>'79-tone Qanun Layout'!B17</f>
        <v>-1380.935942610731</v>
      </c>
      <c r="H27" s="311" t="s">
        <v>569</v>
      </c>
      <c r="I27" s="311">
        <f>'79-tone Qanun Layout'!B18</f>
        <v>-1366.326285875408</v>
      </c>
      <c r="J27" s="311" t="s">
        <v>569</v>
      </c>
      <c r="K27" s="311">
        <f>'79-tone Qanun Layout'!B19</f>
        <v>-1350.9374374463075</v>
      </c>
      <c r="L27" s="311" t="s">
        <v>569</v>
      </c>
      <c r="M27" s="311">
        <f>'79-tone Qanun Layout'!B20</f>
        <v>-1335.6841753468432</v>
      </c>
      <c r="N27" s="311" t="s">
        <v>569</v>
      </c>
      <c r="O27" s="311">
        <f>'79-tone Qanun Layout'!B21</f>
        <v>-1320.5641312112828</v>
      </c>
      <c r="P27" s="311" t="s">
        <v>569</v>
      </c>
      <c r="Q27" s="329">
        <f>'79-tone Qanun Layout'!B22</f>
        <v>-1306.4531285927574</v>
      </c>
      <c r="R27" s="311" t="s">
        <v>570</v>
      </c>
      <c r="S27" s="311">
        <f>'79-tone Qanun Layout'!B23</f>
        <v>-1290.7145288444476</v>
      </c>
      <c r="T27" s="311" t="s">
        <v>570</v>
      </c>
      <c r="U27" s="311">
        <f>'79-tone Qanun Layout'!B24</f>
        <v>-1275.9805331103234</v>
      </c>
      <c r="V27" s="311" t="s">
        <v>570</v>
      </c>
      <c r="W27" s="311">
        <f>'79-tone Qanun Layout'!B25</f>
        <v>-1260.515312211768</v>
      </c>
      <c r="X27" s="311" t="s">
        <v>570</v>
      </c>
      <c r="Y27" s="311">
        <f>'79-tone Qanun Layout'!B26</f>
        <v>-1246.0350414056772</v>
      </c>
      <c r="Z27" s="311" t="s">
        <v>570</v>
      </c>
      <c r="AA27" s="311">
        <f>'79-tone Qanun Layout'!B27</f>
        <v>-1230.8338642862352</v>
      </c>
      <c r="AB27" s="311" t="s">
        <v>570</v>
      </c>
      <c r="AC27" s="311">
        <f>'79-tone Qanun Layout'!B28</f>
        <v>-1215.765000831363</v>
      </c>
      <c r="AD27" s="311" t="s">
        <v>570</v>
      </c>
      <c r="AE27" s="345">
        <f>'79-tone Qanun Layout'!B29</f>
        <v>-1200</v>
      </c>
      <c r="AF27" s="311" t="s">
        <v>570</v>
      </c>
      <c r="AG27" s="311">
        <f>'79-tone Qanun Layout'!B30</f>
        <v>-1183.5589073081094</v>
      </c>
      <c r="AH27" s="322" t="s">
        <v>570</v>
      </c>
      <c r="AI27" s="346">
        <f>'79-tone Qanun Layout'!B31</f>
        <v>-1168.8942488556304</v>
      </c>
      <c r="AJ27" s="322" t="s">
        <v>570</v>
      </c>
      <c r="AK27" s="346">
        <f>'79-tone Qanun Layout'!B32</f>
        <v>-1154.3527667769913</v>
      </c>
      <c r="AL27" s="322" t="s">
        <v>570</v>
      </c>
      <c r="AM27" s="346">
        <f>'79-tone Qanun Layout'!B33</f>
        <v>-1139.9324090467305</v>
      </c>
      <c r="AN27" s="322" t="s">
        <v>570</v>
      </c>
      <c r="AO27" s="347">
        <f>'79-tone Qanun Layout'!B34</f>
        <v>-1124.0494164586976</v>
      </c>
    </row>
    <row r="28" spans="1:41" ht="13.5" thickBot="1">
      <c r="A28" s="203">
        <v>26</v>
      </c>
      <c r="B28" s="204" t="s">
        <v>472</v>
      </c>
      <c r="C28" s="381">
        <f>'79-tone Qanun Layout'!A2</f>
        <v>-1607.9232528457499</v>
      </c>
      <c r="D28" s="369" t="s">
        <v>569</v>
      </c>
      <c r="E28" s="369">
        <f>'79-tone Qanun Layout'!A3</f>
        <v>-1592.3123801715149</v>
      </c>
      <c r="F28" s="369" t="s">
        <v>569</v>
      </c>
      <c r="G28" s="369">
        <f>'79-tone Qanun Layout'!A4</f>
        <v>-1577.8681505618752</v>
      </c>
      <c r="H28" s="369" t="s">
        <v>569</v>
      </c>
      <c r="I28" s="369">
        <f>'79-tone Qanun Layout'!A5</f>
        <v>-1562.5247646148634</v>
      </c>
      <c r="J28" s="369" t="s">
        <v>569</v>
      </c>
      <c r="K28" s="369">
        <f>'79-tone Qanun Layout'!A6</f>
        <v>-1547.3161685727307</v>
      </c>
      <c r="L28" s="369" t="s">
        <v>569</v>
      </c>
      <c r="M28" s="369">
        <f>'79-tone Qanun Layout'!A7</f>
        <v>-1532.240014816036</v>
      </c>
      <c r="N28" s="369" t="s">
        <v>569</v>
      </c>
      <c r="O28" s="369">
        <f>'79-tone Qanun Layout'!A8</f>
        <v>-1517.294016528523</v>
      </c>
      <c r="P28" s="369" t="s">
        <v>569</v>
      </c>
      <c r="Q28" s="371">
        <f>'79-tone Qanun Layout'!A9</f>
        <v>-1502.4759456153488</v>
      </c>
      <c r="R28" s="369" t="s">
        <v>570</v>
      </c>
      <c r="S28" s="369">
        <f>'79-tone Qanun Layout'!A10</f>
        <v>-1486.8085622248132</v>
      </c>
      <c r="T28" s="369" t="s">
        <v>570</v>
      </c>
      <c r="U28" s="369">
        <f>'79-tone Qanun Layout'!A11</f>
        <v>-1472.2480554617869</v>
      </c>
      <c r="V28" s="369" t="s">
        <v>570</v>
      </c>
      <c r="W28" s="369">
        <f>'79-tone Qanun Layout'!A12</f>
        <v>-1455.892846946715</v>
      </c>
      <c r="X28" s="369" t="s">
        <v>570</v>
      </c>
      <c r="Y28" s="369">
        <f>'79-tone Qanun Layout'!A13</f>
        <v>-1440.6395848472503</v>
      </c>
      <c r="Z28" s="369" t="s">
        <v>570</v>
      </c>
      <c r="AA28" s="369">
        <f>'79-tone Qanun Layout'!A14</f>
        <v>-1426.460684550615</v>
      </c>
      <c r="AB28" s="369" t="s">
        <v>570</v>
      </c>
      <c r="AC28" s="382">
        <f>'79-tone Qanun Layout'!A15</f>
        <v>-1411.4634360351415</v>
      </c>
      <c r="AD28" s="369" t="s">
        <v>570</v>
      </c>
      <c r="AE28" s="369">
        <f>'79-tone Qanun Layout'!A16</f>
        <v>-1396.492182031208</v>
      </c>
      <c r="AF28" s="369" t="s">
        <v>570</v>
      </c>
      <c r="AG28" s="369">
        <f>'79-tone Qanun Layout'!A17</f>
        <v>-1380.935942610731</v>
      </c>
      <c r="AH28" s="369"/>
      <c r="AI28" s="373"/>
      <c r="AJ28" s="369"/>
      <c r="AK28" s="373"/>
      <c r="AL28" s="369"/>
      <c r="AM28" s="373"/>
      <c r="AN28" s="374" t="s">
        <v>570</v>
      </c>
      <c r="AO28" s="383">
        <f>'79-tone Qanun Layout'!A21</f>
        <v>-1320.5641312112828</v>
      </c>
    </row>
    <row r="29" spans="1:41" ht="12.7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row>
    <row r="30" spans="1:41" ht="12.7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row r="31" spans="1:41" ht="12.7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row>
    <row r="32" spans="1:41" ht="12.7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row>
    <row r="33" spans="1:41" ht="20.25">
      <c r="A33" s="197"/>
      <c r="B33" s="197"/>
      <c r="C33" s="197"/>
      <c r="D33" s="197"/>
      <c r="E33" s="197"/>
      <c r="F33" s="197"/>
      <c r="G33" s="197"/>
      <c r="H33" s="197"/>
      <c r="I33" s="409" t="s">
        <v>579</v>
      </c>
      <c r="J33" s="409"/>
      <c r="K33" s="409"/>
      <c r="L33" s="409"/>
      <c r="M33" s="409"/>
      <c r="N33" s="409"/>
      <c r="O33" s="409"/>
      <c r="P33" s="409"/>
      <c r="Q33" s="409"/>
      <c r="R33" s="409"/>
      <c r="S33" s="409"/>
      <c r="T33" s="409"/>
      <c r="U33" s="409"/>
      <c r="V33" s="409"/>
      <c r="W33" s="409"/>
      <c r="X33" s="409"/>
      <c r="Y33" s="409"/>
      <c r="Z33" s="197"/>
      <c r="AA33" s="197"/>
      <c r="AB33" s="197"/>
      <c r="AC33" s="197"/>
      <c r="AD33" s="197"/>
      <c r="AE33" s="197"/>
      <c r="AF33" s="197"/>
      <c r="AG33" s="197"/>
      <c r="AH33" s="197"/>
      <c r="AI33" s="197"/>
      <c r="AJ33" s="197"/>
      <c r="AK33" s="197"/>
      <c r="AL33" s="197"/>
      <c r="AM33" s="197"/>
      <c r="AN33" s="197"/>
      <c r="AO33" s="197"/>
    </row>
    <row r="34" spans="1:41" ht="13.5" thickBot="1">
      <c r="A34" s="198"/>
      <c r="B34" s="199"/>
      <c r="C34" s="199">
        <v>-7</v>
      </c>
      <c r="D34" s="199"/>
      <c r="E34" s="199">
        <v>-6</v>
      </c>
      <c r="F34" s="200"/>
      <c r="G34" s="199">
        <v>-5</v>
      </c>
      <c r="H34" s="199"/>
      <c r="I34" s="199">
        <v>-4</v>
      </c>
      <c r="J34" s="199"/>
      <c r="K34" s="199">
        <v>-3</v>
      </c>
      <c r="L34" s="199"/>
      <c r="M34" s="199">
        <v>-2</v>
      </c>
      <c r="N34" s="199"/>
      <c r="O34" s="199">
        <v>-1</v>
      </c>
      <c r="P34" s="199"/>
      <c r="Q34" s="199">
        <v>0</v>
      </c>
      <c r="R34" s="199"/>
      <c r="S34" s="199">
        <v>1</v>
      </c>
      <c r="T34" s="199"/>
      <c r="U34" s="199">
        <v>2</v>
      </c>
      <c r="V34" s="199"/>
      <c r="W34" s="199">
        <v>3</v>
      </c>
      <c r="X34" s="199"/>
      <c r="Y34" s="199">
        <v>4</v>
      </c>
      <c r="Z34" s="199"/>
      <c r="AA34" s="199">
        <v>5</v>
      </c>
      <c r="AB34" s="199"/>
      <c r="AC34" s="199">
        <v>6</v>
      </c>
      <c r="AD34" s="199"/>
      <c r="AE34" s="199">
        <v>7</v>
      </c>
      <c r="AF34" s="199"/>
      <c r="AG34" s="199">
        <v>8</v>
      </c>
      <c r="AH34" s="199"/>
      <c r="AI34" s="199">
        <v>9</v>
      </c>
      <c r="AJ34" s="199"/>
      <c r="AK34" s="199">
        <v>10</v>
      </c>
      <c r="AL34" s="199"/>
      <c r="AM34" s="199">
        <v>11</v>
      </c>
      <c r="AN34" s="199"/>
      <c r="AO34" s="201">
        <v>12</v>
      </c>
    </row>
    <row r="35" spans="1:41" ht="13.5" thickBot="1">
      <c r="A35" s="198">
        <v>1</v>
      </c>
      <c r="B35" s="195" t="s">
        <v>547</v>
      </c>
      <c r="C35" s="299"/>
      <c r="D35" s="300"/>
      <c r="E35" s="301"/>
      <c r="F35" s="300"/>
      <c r="G35" s="301"/>
      <c r="H35" s="302"/>
      <c r="I35" s="303">
        <f aca="true" t="shared" si="0" ref="I35:I45">I3-K3</f>
        <v>-26.465189760988324</v>
      </c>
      <c r="J35" s="304" t="s">
        <v>569</v>
      </c>
      <c r="K35" s="304">
        <f aca="true" t="shared" si="1" ref="K35:K45">K3-M3</f>
        <v>-26.465189760988324</v>
      </c>
      <c r="L35" s="304" t="s">
        <v>569</v>
      </c>
      <c r="M35" s="304">
        <f aca="true" t="shared" si="2" ref="M35:M60">M3-O3</f>
        <v>-26.465189760988324</v>
      </c>
      <c r="N35" s="304" t="s">
        <v>569</v>
      </c>
      <c r="O35" s="304">
        <f aca="true" t="shared" si="3" ref="O35:O60">O3-Q3</f>
        <v>-26.465189760989233</v>
      </c>
      <c r="P35" s="304" t="s">
        <v>569</v>
      </c>
      <c r="Q35" s="305">
        <f aca="true" t="shared" si="4" ref="Q35:Q60">Q3</f>
        <v>2792.9088991706576</v>
      </c>
      <c r="R35" s="302" t="s">
        <v>570</v>
      </c>
      <c r="S35" s="304">
        <f aca="true" t="shared" si="5" ref="S35:S60">S3-Q3</f>
        <v>24.151767145557642</v>
      </c>
      <c r="T35" s="304" t="s">
        <v>570</v>
      </c>
      <c r="U35" s="304">
        <f aca="true" t="shared" si="6" ref="U35:U60">U3-S3</f>
        <v>24.151767145557642</v>
      </c>
      <c r="V35" s="304" t="s">
        <v>570</v>
      </c>
      <c r="W35" s="304">
        <f aca="true" t="shared" si="7" ref="W35:W60">W3-U3</f>
        <v>24.151767145557642</v>
      </c>
      <c r="X35" s="304" t="s">
        <v>570</v>
      </c>
      <c r="Y35" s="304">
        <f aca="true" t="shared" si="8" ref="Y35:Y60">Y3-W3</f>
        <v>24.151767145557642</v>
      </c>
      <c r="Z35" s="304" t="s">
        <v>570</v>
      </c>
      <c r="AA35" s="304">
        <f aca="true" t="shared" si="9" ref="AA35:AA60">AA3-Y3</f>
        <v>24.15176714555855</v>
      </c>
      <c r="AB35" s="306" t="s">
        <v>570</v>
      </c>
      <c r="AC35" s="307">
        <f aca="true" t="shared" si="10" ref="AC35:AC60">AC3-AA3</f>
        <v>60.32784777746838</v>
      </c>
      <c r="AD35" s="308"/>
      <c r="AE35" s="301"/>
      <c r="AF35" s="300"/>
      <c r="AG35" s="301"/>
      <c r="AH35" s="300"/>
      <c r="AI35" s="301"/>
      <c r="AJ35" s="300"/>
      <c r="AK35" s="301"/>
      <c r="AL35" s="300"/>
      <c r="AM35" s="301"/>
      <c r="AN35" s="300"/>
      <c r="AO35" s="309"/>
    </row>
    <row r="36" spans="1:41" ht="14.25" thickBot="1" thickTop="1">
      <c r="A36" s="198">
        <v>2</v>
      </c>
      <c r="B36" s="195" t="s">
        <v>537</v>
      </c>
      <c r="C36" s="310"/>
      <c r="D36" s="311"/>
      <c r="E36" s="312"/>
      <c r="F36" s="313"/>
      <c r="G36" s="314">
        <f aca="true" t="shared" si="11" ref="G36:G60">G4-I4</f>
        <v>-20.972649319502125</v>
      </c>
      <c r="H36" s="313" t="s">
        <v>569</v>
      </c>
      <c r="I36" s="315">
        <f t="shared" si="0"/>
        <v>-20.972649319502125</v>
      </c>
      <c r="J36" s="315" t="s">
        <v>569</v>
      </c>
      <c r="K36" s="315">
        <f t="shared" si="1"/>
        <v>-20.972649319502125</v>
      </c>
      <c r="L36" s="315" t="s">
        <v>569</v>
      </c>
      <c r="M36" s="315">
        <f t="shared" si="2"/>
        <v>-20.972649319502125</v>
      </c>
      <c r="N36" s="315" t="s">
        <v>569</v>
      </c>
      <c r="O36" s="315">
        <f t="shared" si="3"/>
        <v>-20.97264931950167</v>
      </c>
      <c r="P36" s="315" t="s">
        <v>569</v>
      </c>
      <c r="Q36" s="316">
        <f t="shared" si="4"/>
        <v>2596.5524298871223</v>
      </c>
      <c r="R36" s="313" t="s">
        <v>570</v>
      </c>
      <c r="S36" s="315">
        <f t="shared" si="5"/>
        <v>20.169174921793</v>
      </c>
      <c r="T36" s="315" t="s">
        <v>570</v>
      </c>
      <c r="U36" s="315">
        <f t="shared" si="6"/>
        <v>20.169174921793</v>
      </c>
      <c r="V36" s="315" t="s">
        <v>570</v>
      </c>
      <c r="W36" s="315">
        <f t="shared" si="7"/>
        <v>20.169174921793</v>
      </c>
      <c r="X36" s="315" t="s">
        <v>570</v>
      </c>
      <c r="Y36" s="317">
        <f t="shared" si="8"/>
        <v>20.169174921793</v>
      </c>
      <c r="Z36" s="318" t="s">
        <v>570</v>
      </c>
      <c r="AA36" s="319">
        <f t="shared" si="9"/>
        <v>20.169174921793</v>
      </c>
      <c r="AB36" s="315" t="s">
        <v>570</v>
      </c>
      <c r="AC36" s="315">
        <f t="shared" si="10"/>
        <v>20.16917492179209</v>
      </c>
      <c r="AD36" s="320" t="s">
        <v>570</v>
      </c>
      <c r="AE36" s="321">
        <f aca="true" t="shared" si="12" ref="AE36:AE60">AE4-AC4</f>
        <v>30.39935190723645</v>
      </c>
      <c r="AF36" s="322" t="s">
        <v>570</v>
      </c>
      <c r="AG36" s="321">
        <f aca="true" t="shared" si="13" ref="AG36:AG60">AG4-AE4</f>
        <v>30.399351907236905</v>
      </c>
      <c r="AH36" s="311"/>
      <c r="AI36" s="312"/>
      <c r="AJ36" s="311"/>
      <c r="AK36" s="312"/>
      <c r="AL36" s="311"/>
      <c r="AM36" s="312"/>
      <c r="AN36" s="311"/>
      <c r="AO36" s="323"/>
    </row>
    <row r="37" spans="1:41" ht="14.25" thickBot="1" thickTop="1">
      <c r="A37" s="198">
        <v>3</v>
      </c>
      <c r="B37" s="196" t="s">
        <v>536</v>
      </c>
      <c r="C37" s="310"/>
      <c r="D37" s="311"/>
      <c r="E37" s="312"/>
      <c r="F37" s="313"/>
      <c r="G37" s="324">
        <f t="shared" si="11"/>
        <v>-21.290625718551382</v>
      </c>
      <c r="H37" s="313" t="s">
        <v>569</v>
      </c>
      <c r="I37" s="315">
        <f t="shared" si="0"/>
        <v>-21.290625718551382</v>
      </c>
      <c r="J37" s="315" t="s">
        <v>569</v>
      </c>
      <c r="K37" s="315">
        <f t="shared" si="1"/>
        <v>-21.290625718551382</v>
      </c>
      <c r="L37" s="315" t="s">
        <v>569</v>
      </c>
      <c r="M37" s="315">
        <f t="shared" si="2"/>
        <v>-21.290625718551382</v>
      </c>
      <c r="N37" s="315" t="s">
        <v>569</v>
      </c>
      <c r="O37" s="315">
        <f t="shared" si="3"/>
        <v>-21.290625718551837</v>
      </c>
      <c r="P37" s="315" t="s">
        <v>569</v>
      </c>
      <c r="Q37" s="325">
        <f t="shared" si="4"/>
        <v>2400</v>
      </c>
      <c r="R37" s="313" t="s">
        <v>570</v>
      </c>
      <c r="S37" s="315">
        <f t="shared" si="5"/>
        <v>20.200663736695333</v>
      </c>
      <c r="T37" s="315" t="s">
        <v>570</v>
      </c>
      <c r="U37" s="315">
        <f t="shared" si="6"/>
        <v>20.200663736695333</v>
      </c>
      <c r="V37" s="315" t="s">
        <v>570</v>
      </c>
      <c r="W37" s="315">
        <f t="shared" si="7"/>
        <v>20.200663736695333</v>
      </c>
      <c r="X37" s="315" t="s">
        <v>570</v>
      </c>
      <c r="Y37" s="326">
        <f t="shared" si="8"/>
        <v>20.200663736695333</v>
      </c>
      <c r="Z37" s="327" t="s">
        <v>570</v>
      </c>
      <c r="AA37" s="328">
        <f t="shared" si="9"/>
        <v>20.200663736695333</v>
      </c>
      <c r="AB37" s="315" t="s">
        <v>570</v>
      </c>
      <c r="AC37" s="315">
        <f t="shared" si="10"/>
        <v>20.200663736694423</v>
      </c>
      <c r="AD37" s="320" t="s">
        <v>570</v>
      </c>
      <c r="AE37" s="321">
        <f t="shared" si="12"/>
        <v>30.26941361241461</v>
      </c>
      <c r="AF37" s="322" t="s">
        <v>570</v>
      </c>
      <c r="AG37" s="321">
        <f t="shared" si="13"/>
        <v>30.26941361241461</v>
      </c>
      <c r="AH37" s="311"/>
      <c r="AI37" s="312"/>
      <c r="AJ37" s="311"/>
      <c r="AK37" s="312"/>
      <c r="AL37" s="311"/>
      <c r="AM37" s="312"/>
      <c r="AN37" s="311"/>
      <c r="AO37" s="323"/>
    </row>
    <row r="38" spans="1:41" ht="14.25" thickBot="1" thickTop="1">
      <c r="A38" s="198">
        <v>4</v>
      </c>
      <c r="B38" s="205" t="s">
        <v>530</v>
      </c>
      <c r="C38" s="310"/>
      <c r="D38" s="311"/>
      <c r="E38" s="312"/>
      <c r="F38" s="313"/>
      <c r="G38" s="314">
        <f t="shared" si="11"/>
        <v>-21.00206148847701</v>
      </c>
      <c r="H38" s="313" t="s">
        <v>569</v>
      </c>
      <c r="I38" s="315">
        <f t="shared" si="0"/>
        <v>-21.00206148847701</v>
      </c>
      <c r="J38" s="315" t="s">
        <v>569</v>
      </c>
      <c r="K38" s="315">
        <f t="shared" si="1"/>
        <v>-21.00206148847701</v>
      </c>
      <c r="L38" s="315" t="s">
        <v>569</v>
      </c>
      <c r="M38" s="315">
        <f t="shared" si="2"/>
        <v>-21.00206148847701</v>
      </c>
      <c r="N38" s="315" t="s">
        <v>569</v>
      </c>
      <c r="O38" s="315">
        <f t="shared" si="3"/>
        <v>-21.0020614884761</v>
      </c>
      <c r="P38" s="315" t="s">
        <v>569</v>
      </c>
      <c r="Q38" s="329">
        <f t="shared" si="4"/>
        <v>2293.5468714072426</v>
      </c>
      <c r="R38" s="313" t="s">
        <v>570</v>
      </c>
      <c r="S38" s="315">
        <f t="shared" si="5"/>
        <v>20.48237021410796</v>
      </c>
      <c r="T38" s="315" t="s">
        <v>570</v>
      </c>
      <c r="U38" s="315">
        <f t="shared" si="6"/>
        <v>20.48237021410796</v>
      </c>
      <c r="V38" s="315" t="s">
        <v>570</v>
      </c>
      <c r="W38" s="315">
        <f t="shared" si="7"/>
        <v>20.48237021410796</v>
      </c>
      <c r="X38" s="315" t="s">
        <v>570</v>
      </c>
      <c r="Y38" s="315">
        <f t="shared" si="8"/>
        <v>20.48237021410796</v>
      </c>
      <c r="Z38" s="315" t="s">
        <v>570</v>
      </c>
      <c r="AA38" s="330">
        <f t="shared" si="9"/>
        <v>20.48237021410796</v>
      </c>
      <c r="AB38" s="315" t="s">
        <v>570</v>
      </c>
      <c r="AC38" s="315">
        <f t="shared" si="10"/>
        <v>20.48237021410796</v>
      </c>
      <c r="AD38" s="320" t="s">
        <v>570</v>
      </c>
      <c r="AE38" s="331">
        <f t="shared" si="12"/>
        <v>29.754745424706016</v>
      </c>
      <c r="AF38" s="322" t="s">
        <v>570</v>
      </c>
      <c r="AG38" s="331">
        <f t="shared" si="13"/>
        <v>29.754745424706016</v>
      </c>
      <c r="AH38" s="311"/>
      <c r="AI38" s="312"/>
      <c r="AJ38" s="311"/>
      <c r="AK38" s="312"/>
      <c r="AL38" s="311"/>
      <c r="AM38" s="312"/>
      <c r="AN38" s="311"/>
      <c r="AO38" s="323"/>
    </row>
    <row r="39" spans="1:41" ht="12.75">
      <c r="A39" s="198">
        <v>5</v>
      </c>
      <c r="B39" s="195" t="s">
        <v>527</v>
      </c>
      <c r="C39" s="310"/>
      <c r="D39" s="332"/>
      <c r="E39" s="333">
        <f aca="true" t="shared" si="14" ref="E39:E60">E7-G7</f>
        <v>-17.574551205066882</v>
      </c>
      <c r="F39" s="332" t="s">
        <v>569</v>
      </c>
      <c r="G39" s="334">
        <f t="shared" si="11"/>
        <v>-17.574551205066882</v>
      </c>
      <c r="H39" s="332" t="s">
        <v>569</v>
      </c>
      <c r="I39" s="334">
        <f t="shared" si="0"/>
        <v>-17.574551205066882</v>
      </c>
      <c r="J39" s="334" t="s">
        <v>569</v>
      </c>
      <c r="K39" s="334">
        <f t="shared" si="1"/>
        <v>-17.574551205066655</v>
      </c>
      <c r="L39" s="334" t="s">
        <v>569</v>
      </c>
      <c r="M39" s="334">
        <f t="shared" si="2"/>
        <v>-17.574551205066655</v>
      </c>
      <c r="N39" s="334" t="s">
        <v>569</v>
      </c>
      <c r="O39" s="334">
        <f t="shared" si="3"/>
        <v>-17.57455120506711</v>
      </c>
      <c r="P39" s="334" t="s">
        <v>569</v>
      </c>
      <c r="Q39" s="335">
        <f t="shared" si="4"/>
        <v>2097.524054384651</v>
      </c>
      <c r="R39" s="332" t="s">
        <v>570</v>
      </c>
      <c r="S39" s="334">
        <f t="shared" si="5"/>
        <v>17.36285757208816</v>
      </c>
      <c r="T39" s="334" t="s">
        <v>570</v>
      </c>
      <c r="U39" s="334">
        <f t="shared" si="6"/>
        <v>17.36285757208816</v>
      </c>
      <c r="V39" s="334" t="s">
        <v>570</v>
      </c>
      <c r="W39" s="334">
        <f t="shared" si="7"/>
        <v>17.36285757208816</v>
      </c>
      <c r="X39" s="334" t="s">
        <v>570</v>
      </c>
      <c r="Y39" s="334">
        <f t="shared" si="8"/>
        <v>17.36285757208816</v>
      </c>
      <c r="Z39" s="334" t="s">
        <v>570</v>
      </c>
      <c r="AA39" s="333">
        <f t="shared" si="9"/>
        <v>17.36285757208816</v>
      </c>
      <c r="AB39" s="334" t="s">
        <v>570</v>
      </c>
      <c r="AC39" s="334">
        <f t="shared" si="10"/>
        <v>17.36285757208816</v>
      </c>
      <c r="AD39" s="334" t="s">
        <v>570</v>
      </c>
      <c r="AE39" s="334">
        <f t="shared" si="12"/>
        <v>17.362857572088615</v>
      </c>
      <c r="AF39" s="322" t="s">
        <v>570</v>
      </c>
      <c r="AG39" s="336">
        <f t="shared" si="13"/>
        <v>20.12393713314941</v>
      </c>
      <c r="AH39" s="322" t="s">
        <v>570</v>
      </c>
      <c r="AI39" s="336">
        <f aca="true" t="shared" si="15" ref="AI39:AI59">AI7-AG7</f>
        <v>20.12393713314941</v>
      </c>
      <c r="AJ39" s="322" t="s">
        <v>570</v>
      </c>
      <c r="AK39" s="336">
        <f aca="true" t="shared" si="16" ref="AK39:AK59">AK7-AI7</f>
        <v>20.12393713314941</v>
      </c>
      <c r="AL39" s="311"/>
      <c r="AM39" s="312"/>
      <c r="AN39" s="311"/>
      <c r="AO39" s="323"/>
    </row>
    <row r="40" spans="1:41" ht="13.5" thickBot="1">
      <c r="A40" s="198">
        <v>6</v>
      </c>
      <c r="B40" s="196" t="s">
        <v>526</v>
      </c>
      <c r="C40" s="310"/>
      <c r="D40" s="332"/>
      <c r="E40" s="333">
        <f t="shared" si="14"/>
        <v>-18.76875744455151</v>
      </c>
      <c r="F40" s="332" t="s">
        <v>569</v>
      </c>
      <c r="G40" s="334">
        <f t="shared" si="11"/>
        <v>-18.76875744455151</v>
      </c>
      <c r="H40" s="332" t="s">
        <v>569</v>
      </c>
      <c r="I40" s="334">
        <f t="shared" si="0"/>
        <v>-18.76875744455151</v>
      </c>
      <c r="J40" s="334" t="s">
        <v>569</v>
      </c>
      <c r="K40" s="334">
        <f t="shared" si="1"/>
        <v>-18.76875744455151</v>
      </c>
      <c r="L40" s="334" t="s">
        <v>569</v>
      </c>
      <c r="M40" s="334">
        <f t="shared" si="2"/>
        <v>-18.76875744455151</v>
      </c>
      <c r="N40" s="334" t="s">
        <v>569</v>
      </c>
      <c r="O40" s="334">
        <f t="shared" si="3"/>
        <v>-18.768757444551056</v>
      </c>
      <c r="P40" s="334" t="s">
        <v>569</v>
      </c>
      <c r="Q40" s="335">
        <f t="shared" si="4"/>
        <v>1901.9550008653873</v>
      </c>
      <c r="R40" s="332" t="s">
        <v>570</v>
      </c>
      <c r="S40" s="334">
        <f t="shared" si="5"/>
        <v>17.168121224676725</v>
      </c>
      <c r="T40" s="334" t="s">
        <v>570</v>
      </c>
      <c r="U40" s="334">
        <f t="shared" si="6"/>
        <v>17.168121224676725</v>
      </c>
      <c r="V40" s="334" t="s">
        <v>570</v>
      </c>
      <c r="W40" s="334">
        <f t="shared" si="7"/>
        <v>17.168121224676725</v>
      </c>
      <c r="X40" s="334" t="s">
        <v>570</v>
      </c>
      <c r="Y40" s="334">
        <f t="shared" si="8"/>
        <v>17.168121224676725</v>
      </c>
      <c r="Z40" s="334" t="s">
        <v>570</v>
      </c>
      <c r="AA40" s="333">
        <f t="shared" si="9"/>
        <v>17.168121224676725</v>
      </c>
      <c r="AB40" s="334" t="s">
        <v>570</v>
      </c>
      <c r="AC40" s="334">
        <f t="shared" si="10"/>
        <v>17.168121224676725</v>
      </c>
      <c r="AD40" s="334" t="s">
        <v>570</v>
      </c>
      <c r="AE40" s="334">
        <f t="shared" si="12"/>
        <v>17.16812122467718</v>
      </c>
      <c r="AF40" s="322" t="s">
        <v>570</v>
      </c>
      <c r="AG40" s="336">
        <f t="shared" si="13"/>
        <v>20.191378011117422</v>
      </c>
      <c r="AH40" s="322" t="s">
        <v>570</v>
      </c>
      <c r="AI40" s="336">
        <f t="shared" si="15"/>
        <v>20.191378011117422</v>
      </c>
      <c r="AJ40" s="322" t="s">
        <v>570</v>
      </c>
      <c r="AK40" s="336">
        <f t="shared" si="16"/>
        <v>20.19137801111765</v>
      </c>
      <c r="AL40" s="311"/>
      <c r="AM40" s="312"/>
      <c r="AN40" s="311"/>
      <c r="AO40" s="323"/>
    </row>
    <row r="41" spans="1:41" ht="14.25" thickBot="1" thickTop="1">
      <c r="A41" s="198">
        <v>7</v>
      </c>
      <c r="B41" s="205" t="s">
        <v>524</v>
      </c>
      <c r="C41" s="310"/>
      <c r="D41" s="332"/>
      <c r="E41" s="337">
        <f t="shared" si="14"/>
        <v>-17.522683327325467</v>
      </c>
      <c r="F41" s="332" t="s">
        <v>569</v>
      </c>
      <c r="G41" s="334">
        <f t="shared" si="11"/>
        <v>-17.522683327325467</v>
      </c>
      <c r="H41" s="332" t="s">
        <v>569</v>
      </c>
      <c r="I41" s="334">
        <f t="shared" si="0"/>
        <v>-17.522683327325467</v>
      </c>
      <c r="J41" s="334" t="s">
        <v>569</v>
      </c>
      <c r="K41" s="334">
        <f t="shared" si="1"/>
        <v>-17.522683327325467</v>
      </c>
      <c r="L41" s="334" t="s">
        <v>569</v>
      </c>
      <c r="M41" s="334">
        <f t="shared" si="2"/>
        <v>-17.522683327325467</v>
      </c>
      <c r="N41" s="334" t="s">
        <v>569</v>
      </c>
      <c r="O41" s="334">
        <f t="shared" si="3"/>
        <v>-17.522683327325694</v>
      </c>
      <c r="P41" s="334" t="s">
        <v>569</v>
      </c>
      <c r="Q41" s="338">
        <f t="shared" si="4"/>
        <v>1698.0449991346106</v>
      </c>
      <c r="R41" s="332" t="s">
        <v>570</v>
      </c>
      <c r="S41" s="334">
        <f t="shared" si="5"/>
        <v>17.3698572225544</v>
      </c>
      <c r="T41" s="334" t="s">
        <v>570</v>
      </c>
      <c r="U41" s="334">
        <f t="shared" si="6"/>
        <v>17.3698572225544</v>
      </c>
      <c r="V41" s="334" t="s">
        <v>570</v>
      </c>
      <c r="W41" s="334">
        <f t="shared" si="7"/>
        <v>17.3698572225544</v>
      </c>
      <c r="X41" s="334" t="s">
        <v>570</v>
      </c>
      <c r="Y41" s="334">
        <f t="shared" si="8"/>
        <v>17.3698572225544</v>
      </c>
      <c r="Z41" s="334" t="s">
        <v>570</v>
      </c>
      <c r="AA41" s="339">
        <f t="shared" si="9"/>
        <v>17.3698572225544</v>
      </c>
      <c r="AB41" s="340" t="s">
        <v>570</v>
      </c>
      <c r="AC41" s="341">
        <f t="shared" si="10"/>
        <v>17.3698572225544</v>
      </c>
      <c r="AD41" s="334" t="s">
        <v>570</v>
      </c>
      <c r="AE41" s="334">
        <f t="shared" si="12"/>
        <v>17.369857222554174</v>
      </c>
      <c r="AF41" s="322" t="s">
        <v>570</v>
      </c>
      <c r="AG41" s="342">
        <f t="shared" si="13"/>
        <v>20.051269695707333</v>
      </c>
      <c r="AH41" s="322" t="s">
        <v>570</v>
      </c>
      <c r="AI41" s="342">
        <f t="shared" si="15"/>
        <v>20.051269695707333</v>
      </c>
      <c r="AJ41" s="322" t="s">
        <v>570</v>
      </c>
      <c r="AK41" s="342">
        <f t="shared" si="16"/>
        <v>20.051269695707106</v>
      </c>
      <c r="AL41" s="311"/>
      <c r="AM41" s="312"/>
      <c r="AN41" s="311"/>
      <c r="AO41" s="323"/>
    </row>
    <row r="42" spans="1:41" ht="12.75">
      <c r="A42" s="198">
        <v>8</v>
      </c>
      <c r="B42" s="202" t="s">
        <v>520</v>
      </c>
      <c r="C42" s="343">
        <f aca="true" t="shared" si="17" ref="C42:C60">C10-E10</f>
        <v>-15.326920663054352</v>
      </c>
      <c r="D42" s="311" t="s">
        <v>569</v>
      </c>
      <c r="E42" s="344">
        <f t="shared" si="14"/>
        <v>-15.192418628121686</v>
      </c>
      <c r="F42" s="311" t="s">
        <v>569</v>
      </c>
      <c r="G42" s="344">
        <f t="shared" si="11"/>
        <v>-15.06025672861415</v>
      </c>
      <c r="H42" s="311" t="s">
        <v>569</v>
      </c>
      <c r="I42" s="344">
        <f t="shared" si="0"/>
        <v>-14.93037441854176</v>
      </c>
      <c r="J42" s="344" t="s">
        <v>569</v>
      </c>
      <c r="K42" s="344">
        <f t="shared" si="1"/>
        <v>-14.802713222734383</v>
      </c>
      <c r="L42" s="344" t="s">
        <v>569</v>
      </c>
      <c r="M42" s="344">
        <f t="shared" si="2"/>
        <v>-16.005359444583064</v>
      </c>
      <c r="N42" s="344" t="s">
        <v>569</v>
      </c>
      <c r="O42" s="344">
        <f t="shared" si="3"/>
        <v>-14.54271593830481</v>
      </c>
      <c r="P42" s="344" t="s">
        <v>569</v>
      </c>
      <c r="Q42" s="329">
        <f t="shared" si="4"/>
        <v>1592.9088991706576</v>
      </c>
      <c r="R42" s="311" t="s">
        <v>570</v>
      </c>
      <c r="S42" s="344">
        <f t="shared" si="5"/>
        <v>15.726685428634028</v>
      </c>
      <c r="T42" s="344" t="s">
        <v>570</v>
      </c>
      <c r="U42" s="344">
        <f t="shared" si="6"/>
        <v>14.291694325521348</v>
      </c>
      <c r="V42" s="344" t="s">
        <v>570</v>
      </c>
      <c r="W42" s="344">
        <f t="shared" si="7"/>
        <v>15.457549556078447</v>
      </c>
      <c r="X42" s="344" t="s">
        <v>570</v>
      </c>
      <c r="Y42" s="344">
        <f t="shared" si="8"/>
        <v>15.3207552886538</v>
      </c>
      <c r="Z42" s="344" t="s">
        <v>570</v>
      </c>
      <c r="AA42" s="344">
        <f t="shared" si="9"/>
        <v>15.186360967234805</v>
      </c>
      <c r="AB42" s="344" t="s">
        <v>570</v>
      </c>
      <c r="AC42" s="344">
        <f t="shared" si="10"/>
        <v>15.054303982936062</v>
      </c>
      <c r="AD42" s="344" t="s">
        <v>570</v>
      </c>
      <c r="AE42" s="345">
        <f t="shared" si="12"/>
        <v>14.098750414894539</v>
      </c>
      <c r="AF42" s="311" t="s">
        <v>570</v>
      </c>
      <c r="AG42" s="311">
        <f t="shared" si="13"/>
        <v>15.622735763836317</v>
      </c>
      <c r="AH42" s="322" t="s">
        <v>570</v>
      </c>
      <c r="AI42" s="346">
        <f t="shared" si="15"/>
        <v>14.671562799911044</v>
      </c>
      <c r="AJ42" s="322" t="s">
        <v>570</v>
      </c>
      <c r="AK42" s="346">
        <f t="shared" si="16"/>
        <v>15.755126332361897</v>
      </c>
      <c r="AL42" s="322" t="s">
        <v>570</v>
      </c>
      <c r="AM42" s="346">
        <f aca="true" t="shared" si="18" ref="AM42:AM59">AM10-AK10</f>
        <v>14.417021962409308</v>
      </c>
      <c r="AN42" s="322" t="s">
        <v>570</v>
      </c>
      <c r="AO42" s="347">
        <f aca="true" t="shared" si="19" ref="AO42:AO59">AO10-AM10</f>
        <v>15.484136682785902</v>
      </c>
    </row>
    <row r="43" spans="1:41" ht="12.75">
      <c r="A43" s="198">
        <v>9</v>
      </c>
      <c r="B43" s="202" t="s">
        <v>519</v>
      </c>
      <c r="C43" s="343">
        <f t="shared" si="17"/>
        <v>-14.043435673485419</v>
      </c>
      <c r="D43" s="311" t="s">
        <v>569</v>
      </c>
      <c r="E43" s="344">
        <f t="shared" si="14"/>
        <v>-15.471363457073267</v>
      </c>
      <c r="F43" s="311" t="s">
        <v>569</v>
      </c>
      <c r="G43" s="344">
        <f t="shared" si="11"/>
        <v>-15.334325665563256</v>
      </c>
      <c r="H43" s="311" t="s">
        <v>569</v>
      </c>
      <c r="I43" s="344">
        <f t="shared" si="0"/>
        <v>-15.19969420339271</v>
      </c>
      <c r="J43" s="344" t="s">
        <v>569</v>
      </c>
      <c r="K43" s="344">
        <f t="shared" si="1"/>
        <v>-15.067406240511673</v>
      </c>
      <c r="L43" s="344" t="s">
        <v>569</v>
      </c>
      <c r="M43" s="344">
        <f t="shared" si="2"/>
        <v>-14.937401115361581</v>
      </c>
      <c r="N43" s="344" t="s">
        <v>569</v>
      </c>
      <c r="O43" s="344">
        <f t="shared" si="3"/>
        <v>-14.809620242122037</v>
      </c>
      <c r="P43" s="344" t="s">
        <v>569</v>
      </c>
      <c r="Q43" s="348">
        <f t="shared" si="4"/>
        <v>1396.5524298871221</v>
      </c>
      <c r="R43" s="311" t="s">
        <v>570</v>
      </c>
      <c r="S43" s="344">
        <f t="shared" si="5"/>
        <v>14.684007022677406</v>
      </c>
      <c r="T43" s="344" t="s">
        <v>570</v>
      </c>
      <c r="U43" s="344">
        <f t="shared" si="6"/>
        <v>16.009844686993347</v>
      </c>
      <c r="V43" s="344" t="s">
        <v>570</v>
      </c>
      <c r="W43" s="344">
        <f t="shared" si="7"/>
        <v>14.42703389905546</v>
      </c>
      <c r="X43" s="344" t="s">
        <v>570</v>
      </c>
      <c r="Y43" s="344">
        <f t="shared" si="8"/>
        <v>15.732098791513863</v>
      </c>
      <c r="Z43" s="344" t="s">
        <v>570</v>
      </c>
      <c r="AA43" s="344">
        <f t="shared" si="9"/>
        <v>14.17890029663522</v>
      </c>
      <c r="AB43" s="344" t="s">
        <v>570</v>
      </c>
      <c r="AC43" s="343">
        <f t="shared" si="10"/>
        <v>15.46382554270599</v>
      </c>
      <c r="AD43" s="344" t="s">
        <v>570</v>
      </c>
      <c r="AE43" s="344">
        <f t="shared" si="12"/>
        <v>15.326920663054352</v>
      </c>
      <c r="AF43" s="311" t="s">
        <v>570</v>
      </c>
      <c r="AG43" s="344">
        <f t="shared" si="13"/>
        <v>15.192418628121686</v>
      </c>
      <c r="AH43" s="322" t="s">
        <v>570</v>
      </c>
      <c r="AI43" s="346">
        <f t="shared" si="15"/>
        <v>15.06025672861415</v>
      </c>
      <c r="AJ43" s="322" t="s">
        <v>570</v>
      </c>
      <c r="AK43" s="346">
        <f t="shared" si="16"/>
        <v>14.93037441854176</v>
      </c>
      <c r="AL43" s="322" t="s">
        <v>570</v>
      </c>
      <c r="AM43" s="346">
        <f t="shared" si="18"/>
        <v>14.802713222734383</v>
      </c>
      <c r="AN43" s="322" t="s">
        <v>570</v>
      </c>
      <c r="AO43" s="347">
        <f t="shared" si="19"/>
        <v>16.005359444583064</v>
      </c>
    </row>
    <row r="44" spans="1:41" ht="12.75">
      <c r="A44" s="198">
        <v>10</v>
      </c>
      <c r="B44" s="202" t="s">
        <v>518</v>
      </c>
      <c r="C44" s="349">
        <f t="shared" si="17"/>
        <v>-15.738599748309753</v>
      </c>
      <c r="D44" s="311" t="s">
        <v>569</v>
      </c>
      <c r="E44" s="344">
        <f t="shared" si="14"/>
        <v>-14.733995734124164</v>
      </c>
      <c r="F44" s="311" t="s">
        <v>569</v>
      </c>
      <c r="G44" s="344">
        <f t="shared" si="11"/>
        <v>-15.465220898555344</v>
      </c>
      <c r="H44" s="311" t="s">
        <v>569</v>
      </c>
      <c r="I44" s="344">
        <f t="shared" si="0"/>
        <v>-14.480270806090857</v>
      </c>
      <c r="J44" s="344" t="s">
        <v>569</v>
      </c>
      <c r="K44" s="344">
        <f t="shared" si="1"/>
        <v>-15.201177119442036</v>
      </c>
      <c r="L44" s="344" t="s">
        <v>569</v>
      </c>
      <c r="M44" s="344">
        <f t="shared" si="2"/>
        <v>-15.068863454872144</v>
      </c>
      <c r="N44" s="344" t="s">
        <v>569</v>
      </c>
      <c r="O44" s="344">
        <f t="shared" si="3"/>
        <v>-15.765000831363068</v>
      </c>
      <c r="P44" s="344" t="s">
        <v>569</v>
      </c>
      <c r="Q44" s="329">
        <f t="shared" si="4"/>
        <v>1200</v>
      </c>
      <c r="R44" s="311" t="s">
        <v>570</v>
      </c>
      <c r="S44" s="344">
        <f t="shared" si="5"/>
        <v>16.441092691890617</v>
      </c>
      <c r="T44" s="344" t="s">
        <v>570</v>
      </c>
      <c r="U44" s="344">
        <f t="shared" si="6"/>
        <v>14.664658452478989</v>
      </c>
      <c r="V44" s="344" t="s">
        <v>570</v>
      </c>
      <c r="W44" s="344">
        <f t="shared" si="7"/>
        <v>14.541482078639092</v>
      </c>
      <c r="X44" s="344" t="s">
        <v>570</v>
      </c>
      <c r="Y44" s="344">
        <f t="shared" si="8"/>
        <v>14.420357730260775</v>
      </c>
      <c r="Z44" s="344" t="s">
        <v>570</v>
      </c>
      <c r="AA44" s="344">
        <f t="shared" si="9"/>
        <v>15.882992588032948</v>
      </c>
      <c r="AB44" s="344" t="s">
        <v>570</v>
      </c>
      <c r="AC44" s="343">
        <f t="shared" si="10"/>
        <v>15.738599748309753</v>
      </c>
      <c r="AD44" s="344" t="s">
        <v>570</v>
      </c>
      <c r="AE44" s="344">
        <f t="shared" si="12"/>
        <v>14.043435673485419</v>
      </c>
      <c r="AF44" s="311" t="s">
        <v>570</v>
      </c>
      <c r="AG44" s="344">
        <f t="shared" si="13"/>
        <v>15.471363457073267</v>
      </c>
      <c r="AH44" s="322" t="s">
        <v>570</v>
      </c>
      <c r="AI44" s="346">
        <f t="shared" si="15"/>
        <v>15.334325665563256</v>
      </c>
      <c r="AJ44" s="322" t="s">
        <v>570</v>
      </c>
      <c r="AK44" s="346">
        <f t="shared" si="16"/>
        <v>15.19969420339271</v>
      </c>
      <c r="AL44" s="322" t="s">
        <v>570</v>
      </c>
      <c r="AM44" s="346">
        <f t="shared" si="18"/>
        <v>15.067406240511673</v>
      </c>
      <c r="AN44" s="322" t="s">
        <v>570</v>
      </c>
      <c r="AO44" s="347">
        <f t="shared" si="19"/>
        <v>14.937401115361581</v>
      </c>
    </row>
    <row r="45" spans="1:41" ht="13.5" thickBot="1">
      <c r="A45" s="198">
        <v>11</v>
      </c>
      <c r="B45" s="202" t="s">
        <v>517</v>
      </c>
      <c r="C45" s="343">
        <f t="shared" si="17"/>
        <v>-14.971254003933495</v>
      </c>
      <c r="D45" s="311" t="s">
        <v>569</v>
      </c>
      <c r="E45" s="344">
        <f t="shared" si="14"/>
        <v>-15.556239420477027</v>
      </c>
      <c r="F45" s="311" t="s">
        <v>569</v>
      </c>
      <c r="G45" s="344">
        <f t="shared" si="11"/>
        <v>-14.609656735322915</v>
      </c>
      <c r="H45" s="311" t="s">
        <v>569</v>
      </c>
      <c r="I45" s="344">
        <f t="shared" si="0"/>
        <v>-15.388848429100562</v>
      </c>
      <c r="J45" s="344" t="s">
        <v>569</v>
      </c>
      <c r="K45" s="344">
        <f t="shared" si="1"/>
        <v>-15.253262099464337</v>
      </c>
      <c r="L45" s="344" t="s">
        <v>569</v>
      </c>
      <c r="M45" s="344">
        <f t="shared" si="2"/>
        <v>-15.12004413556042</v>
      </c>
      <c r="N45" s="344" t="s">
        <v>569</v>
      </c>
      <c r="O45" s="344">
        <f t="shared" si="3"/>
        <v>-14.11100261852539</v>
      </c>
      <c r="P45" s="344" t="s">
        <v>569</v>
      </c>
      <c r="Q45" s="329">
        <f t="shared" si="4"/>
        <v>1093.5468714072426</v>
      </c>
      <c r="R45" s="311" t="s">
        <v>570</v>
      </c>
      <c r="S45" s="344">
        <f t="shared" si="5"/>
        <v>15.738599748309753</v>
      </c>
      <c r="T45" s="344" t="s">
        <v>570</v>
      </c>
      <c r="U45" s="344">
        <f t="shared" si="6"/>
        <v>14.733995734124164</v>
      </c>
      <c r="V45" s="344" t="s">
        <v>570</v>
      </c>
      <c r="W45" s="344">
        <f t="shared" si="7"/>
        <v>15.465220898555344</v>
      </c>
      <c r="X45" s="344" t="s">
        <v>570</v>
      </c>
      <c r="Y45" s="344">
        <f t="shared" si="8"/>
        <v>14.480270806090857</v>
      </c>
      <c r="Z45" s="344" t="s">
        <v>570</v>
      </c>
      <c r="AA45" s="344">
        <f t="shared" si="9"/>
        <v>15.201177119442036</v>
      </c>
      <c r="AB45" s="344" t="s">
        <v>570</v>
      </c>
      <c r="AC45" s="344">
        <f t="shared" si="10"/>
        <v>15.068863454872144</v>
      </c>
      <c r="AD45" s="344" t="s">
        <v>570</v>
      </c>
      <c r="AE45" s="345">
        <f t="shared" si="12"/>
        <v>15.765000831363068</v>
      </c>
      <c r="AF45" s="311" t="s">
        <v>570</v>
      </c>
      <c r="AG45" s="344">
        <f t="shared" si="13"/>
        <v>16.441092691890617</v>
      </c>
      <c r="AH45" s="322" t="s">
        <v>570</v>
      </c>
      <c r="AI45" s="346">
        <f t="shared" si="15"/>
        <v>14.664658452478989</v>
      </c>
      <c r="AJ45" s="322" t="s">
        <v>570</v>
      </c>
      <c r="AK45" s="346">
        <f t="shared" si="16"/>
        <v>14.541482078639092</v>
      </c>
      <c r="AL45" s="322" t="s">
        <v>570</v>
      </c>
      <c r="AM45" s="346">
        <f t="shared" si="18"/>
        <v>14.420357730260775</v>
      </c>
      <c r="AN45" s="322" t="s">
        <v>570</v>
      </c>
      <c r="AO45" s="350">
        <f t="shared" si="19"/>
        <v>15.882992588032948</v>
      </c>
    </row>
    <row r="46" spans="1:41" ht="14.25" thickBot="1" thickTop="1">
      <c r="A46" s="198">
        <v>12</v>
      </c>
      <c r="B46" s="221" t="s">
        <v>499</v>
      </c>
      <c r="C46" s="351">
        <f t="shared" si="17"/>
        <v>-15.610872674234997</v>
      </c>
      <c r="D46" s="352" t="s">
        <v>569</v>
      </c>
      <c r="E46" s="353">
        <f t="shared" si="14"/>
        <v>-14.444229609639592</v>
      </c>
      <c r="F46" s="352" t="s">
        <v>569</v>
      </c>
      <c r="G46" s="353">
        <f t="shared" si="11"/>
        <v>-15.343385947011825</v>
      </c>
      <c r="H46" s="352" t="s">
        <v>569</v>
      </c>
      <c r="I46" s="353">
        <f aca="true" t="shared" si="20" ref="I46:I60">I14-K14</f>
        <v>-15.20859604213274</v>
      </c>
      <c r="J46" s="352" t="s">
        <v>569</v>
      </c>
      <c r="K46" s="353">
        <f aca="true" t="shared" si="21" ref="K46:K60">K14-M14</f>
        <v>-15.07615375669468</v>
      </c>
      <c r="L46" s="352" t="s">
        <v>569</v>
      </c>
      <c r="M46" s="353">
        <f t="shared" si="2"/>
        <v>-14.945998287513135</v>
      </c>
      <c r="N46" s="352" t="s">
        <v>569</v>
      </c>
      <c r="O46" s="353">
        <f t="shared" si="3"/>
        <v>-14.818070913173983</v>
      </c>
      <c r="P46" s="352" t="s">
        <v>569</v>
      </c>
      <c r="Q46" s="354">
        <f t="shared" si="4"/>
        <v>897.5240543846511</v>
      </c>
      <c r="R46" s="352" t="s">
        <v>570</v>
      </c>
      <c r="S46" s="353">
        <f t="shared" si="5"/>
        <v>15.667383390535747</v>
      </c>
      <c r="T46" s="352" t="s">
        <v>570</v>
      </c>
      <c r="U46" s="353">
        <f t="shared" si="6"/>
        <v>14.560506763026297</v>
      </c>
      <c r="V46" s="352" t="s">
        <v>570</v>
      </c>
      <c r="W46" s="353">
        <f t="shared" si="7"/>
        <v>16.355208515071695</v>
      </c>
      <c r="X46" s="352" t="s">
        <v>570</v>
      </c>
      <c r="Y46" s="353">
        <f t="shared" si="8"/>
        <v>15.253262099464905</v>
      </c>
      <c r="Z46" s="352" t="s">
        <v>570</v>
      </c>
      <c r="AA46" s="353">
        <f t="shared" si="9"/>
        <v>14.17890029663522</v>
      </c>
      <c r="AB46" s="352" t="s">
        <v>570</v>
      </c>
      <c r="AC46" s="351">
        <f t="shared" si="10"/>
        <v>14.99724851547353</v>
      </c>
      <c r="AD46" s="352" t="s">
        <v>570</v>
      </c>
      <c r="AE46" s="353">
        <f t="shared" si="12"/>
        <v>14.971254003933495</v>
      </c>
      <c r="AF46" s="352" t="s">
        <v>570</v>
      </c>
      <c r="AG46" s="353">
        <f t="shared" si="13"/>
        <v>15.556239420477027</v>
      </c>
      <c r="AH46" s="322" t="s">
        <v>570</v>
      </c>
      <c r="AI46" s="355">
        <f t="shared" si="15"/>
        <v>14.609656735322915</v>
      </c>
      <c r="AJ46" s="322" t="s">
        <v>570</v>
      </c>
      <c r="AK46" s="355">
        <f t="shared" si="16"/>
        <v>15.388848429100562</v>
      </c>
      <c r="AL46" s="322" t="s">
        <v>570</v>
      </c>
      <c r="AM46" s="355">
        <f t="shared" si="18"/>
        <v>15.253262099464337</v>
      </c>
      <c r="AN46" s="322" t="s">
        <v>570</v>
      </c>
      <c r="AO46" s="356">
        <f t="shared" si="19"/>
        <v>15.12004413556042</v>
      </c>
    </row>
    <row r="47" spans="1:41" ht="13.5" thickTop="1">
      <c r="A47" s="198">
        <v>13</v>
      </c>
      <c r="B47" s="202" t="s">
        <v>498</v>
      </c>
      <c r="C47" s="343">
        <f t="shared" si="17"/>
        <v>-14.046600782734458</v>
      </c>
      <c r="D47" s="311" t="s">
        <v>569</v>
      </c>
      <c r="E47" s="344">
        <f t="shared" si="14"/>
        <v>-16.24494271167805</v>
      </c>
      <c r="F47" s="311" t="s">
        <v>569</v>
      </c>
      <c r="G47" s="344">
        <f t="shared" si="11"/>
        <v>-14.94930752785558</v>
      </c>
      <c r="H47" s="311" t="s">
        <v>569</v>
      </c>
      <c r="I47" s="344">
        <f t="shared" si="20"/>
        <v>-14.82132373984598</v>
      </c>
      <c r="J47" s="344" t="s">
        <v>569</v>
      </c>
      <c r="K47" s="344">
        <f t="shared" si="21"/>
        <v>-15.820786788719033</v>
      </c>
      <c r="L47" s="344" t="s">
        <v>569</v>
      </c>
      <c r="M47" s="344">
        <f t="shared" si="2"/>
        <v>-14.562391030700951</v>
      </c>
      <c r="N47" s="344" t="s">
        <v>569</v>
      </c>
      <c r="O47" s="344">
        <f t="shared" si="3"/>
        <v>-22.167192085774445</v>
      </c>
      <c r="P47" s="344" t="s">
        <v>569</v>
      </c>
      <c r="Q47" s="348">
        <f t="shared" si="4"/>
        <v>701.9550008653873</v>
      </c>
      <c r="R47" s="311" t="s">
        <v>570</v>
      </c>
      <c r="S47" s="344">
        <f t="shared" si="5"/>
        <v>15.34986413444642</v>
      </c>
      <c r="T47" s="344" t="s">
        <v>570</v>
      </c>
      <c r="U47" s="344">
        <f t="shared" si="6"/>
        <v>15.214960884895618</v>
      </c>
      <c r="V47" s="344" t="s">
        <v>570</v>
      </c>
      <c r="W47" s="344">
        <f t="shared" si="7"/>
        <v>15.082408203666773</v>
      </c>
      <c r="X47" s="344" t="s">
        <v>570</v>
      </c>
      <c r="Y47" s="344">
        <f t="shared" si="8"/>
        <v>14.952145186159896</v>
      </c>
      <c r="Z47" s="344" t="s">
        <v>570</v>
      </c>
      <c r="AA47" s="344">
        <f t="shared" si="9"/>
        <v>14.82411301386935</v>
      </c>
      <c r="AB47" s="344" t="s">
        <v>570</v>
      </c>
      <c r="AC47" s="343">
        <f t="shared" si="10"/>
        <v>14.698254865824765</v>
      </c>
      <c r="AD47" s="344" t="s">
        <v>570</v>
      </c>
      <c r="AE47" s="344">
        <f t="shared" si="12"/>
        <v>15.610872674234997</v>
      </c>
      <c r="AF47" s="311" t="s">
        <v>570</v>
      </c>
      <c r="AG47" s="344">
        <f t="shared" si="13"/>
        <v>14.444229609639592</v>
      </c>
      <c r="AH47" s="322" t="s">
        <v>570</v>
      </c>
      <c r="AI47" s="346">
        <f t="shared" si="15"/>
        <v>15.343385947011825</v>
      </c>
      <c r="AJ47" s="322" t="s">
        <v>570</v>
      </c>
      <c r="AK47" s="346">
        <f t="shared" si="16"/>
        <v>15.20859604213274</v>
      </c>
      <c r="AL47" s="322" t="s">
        <v>570</v>
      </c>
      <c r="AM47" s="346">
        <f t="shared" si="18"/>
        <v>15.07615375669468</v>
      </c>
      <c r="AN47" s="322" t="s">
        <v>570</v>
      </c>
      <c r="AO47" s="357">
        <f t="shared" si="19"/>
        <v>14.945998287513135</v>
      </c>
    </row>
    <row r="48" spans="1:41" ht="12.75">
      <c r="A48" s="198">
        <v>14</v>
      </c>
      <c r="B48" s="202" t="s">
        <v>497</v>
      </c>
      <c r="C48" s="349">
        <f t="shared" si="17"/>
        <v>-15.726685428634141</v>
      </c>
      <c r="D48" s="311" t="s">
        <v>569</v>
      </c>
      <c r="E48" s="344">
        <f t="shared" si="14"/>
        <v>-14.291694325521291</v>
      </c>
      <c r="F48" s="311" t="s">
        <v>569</v>
      </c>
      <c r="G48" s="344">
        <f t="shared" si="11"/>
        <v>-15.457549556078504</v>
      </c>
      <c r="H48" s="311" t="s">
        <v>569</v>
      </c>
      <c r="I48" s="344">
        <f t="shared" si="20"/>
        <v>-15.320755288653686</v>
      </c>
      <c r="J48" s="344" t="s">
        <v>569</v>
      </c>
      <c r="K48" s="344">
        <f t="shared" si="21"/>
        <v>-15.186360967234862</v>
      </c>
      <c r="L48" s="344" t="s">
        <v>569</v>
      </c>
      <c r="M48" s="344">
        <f t="shared" si="2"/>
        <v>-15.05430398293612</v>
      </c>
      <c r="N48" s="344" t="s">
        <v>569</v>
      </c>
      <c r="O48" s="344">
        <f t="shared" si="3"/>
        <v>-14.098750414894596</v>
      </c>
      <c r="P48" s="344" t="s">
        <v>569</v>
      </c>
      <c r="Q48" s="329">
        <f t="shared" si="4"/>
        <v>498.0449991346107</v>
      </c>
      <c r="R48" s="311" t="s">
        <v>570</v>
      </c>
      <c r="S48" s="344">
        <f t="shared" si="5"/>
        <v>15.62273576383626</v>
      </c>
      <c r="T48" s="344" t="s">
        <v>570</v>
      </c>
      <c r="U48" s="344">
        <f t="shared" si="6"/>
        <v>14.671562799911044</v>
      </c>
      <c r="V48" s="344" t="s">
        <v>570</v>
      </c>
      <c r="W48" s="344">
        <f t="shared" si="7"/>
        <v>15.755126332361897</v>
      </c>
      <c r="X48" s="344" t="s">
        <v>570</v>
      </c>
      <c r="Y48" s="344">
        <f t="shared" si="8"/>
        <v>14.417021962409308</v>
      </c>
      <c r="Z48" s="344" t="s">
        <v>570</v>
      </c>
      <c r="AA48" s="344">
        <f t="shared" si="9"/>
        <v>15.484136682786016</v>
      </c>
      <c r="AB48" s="344" t="s">
        <v>570</v>
      </c>
      <c r="AC48" s="343">
        <f t="shared" si="10"/>
        <v>15.346873522163605</v>
      </c>
      <c r="AD48" s="344" t="s">
        <v>570</v>
      </c>
      <c r="AE48" s="344">
        <f t="shared" si="12"/>
        <v>14.046600782734458</v>
      </c>
      <c r="AF48" s="311" t="s">
        <v>570</v>
      </c>
      <c r="AG48" s="344">
        <f t="shared" si="13"/>
        <v>16.24494271167805</v>
      </c>
      <c r="AH48" s="322" t="s">
        <v>570</v>
      </c>
      <c r="AI48" s="346">
        <f t="shared" si="15"/>
        <v>14.94930752785558</v>
      </c>
      <c r="AJ48" s="322" t="s">
        <v>570</v>
      </c>
      <c r="AK48" s="346">
        <f t="shared" si="16"/>
        <v>14.82132373984598</v>
      </c>
      <c r="AL48" s="322" t="s">
        <v>570</v>
      </c>
      <c r="AM48" s="346">
        <f t="shared" si="18"/>
        <v>15.820786788719033</v>
      </c>
      <c r="AN48" s="322" t="s">
        <v>570</v>
      </c>
      <c r="AO48" s="347">
        <f t="shared" si="19"/>
        <v>14.562391030700951</v>
      </c>
    </row>
    <row r="49" spans="1:41" ht="12.75">
      <c r="A49" s="198">
        <v>15</v>
      </c>
      <c r="B49" s="202" t="s">
        <v>495</v>
      </c>
      <c r="C49" s="343">
        <f t="shared" si="17"/>
        <v>-15.326920663054295</v>
      </c>
      <c r="D49" s="311" t="s">
        <v>569</v>
      </c>
      <c r="E49" s="344">
        <f t="shared" si="14"/>
        <v>-15.19241862812163</v>
      </c>
      <c r="F49" s="311" t="s">
        <v>569</v>
      </c>
      <c r="G49" s="344">
        <f t="shared" si="11"/>
        <v>-15.060256728614263</v>
      </c>
      <c r="H49" s="311" t="s">
        <v>569</v>
      </c>
      <c r="I49" s="344">
        <f t="shared" si="20"/>
        <v>-14.930374418541874</v>
      </c>
      <c r="J49" s="344" t="s">
        <v>569</v>
      </c>
      <c r="K49" s="344">
        <f t="shared" si="21"/>
        <v>-14.802713222734212</v>
      </c>
      <c r="L49" s="344" t="s">
        <v>569</v>
      </c>
      <c r="M49" s="344">
        <f t="shared" si="2"/>
        <v>-16.005359444583007</v>
      </c>
      <c r="N49" s="344" t="s">
        <v>569</v>
      </c>
      <c r="O49" s="344">
        <f t="shared" si="3"/>
        <v>-14.54271593830481</v>
      </c>
      <c r="P49" s="344" t="s">
        <v>569</v>
      </c>
      <c r="Q49" s="329">
        <f t="shared" si="4"/>
        <v>392.9088991706575</v>
      </c>
      <c r="R49" s="311" t="s">
        <v>570</v>
      </c>
      <c r="S49" s="344">
        <f t="shared" si="5"/>
        <v>15.726685428634141</v>
      </c>
      <c r="T49" s="344" t="s">
        <v>570</v>
      </c>
      <c r="U49" s="344">
        <f t="shared" si="6"/>
        <v>14.291694325521291</v>
      </c>
      <c r="V49" s="344" t="s">
        <v>570</v>
      </c>
      <c r="W49" s="344">
        <f t="shared" si="7"/>
        <v>15.457549556078504</v>
      </c>
      <c r="X49" s="344" t="s">
        <v>570</v>
      </c>
      <c r="Y49" s="344">
        <f t="shared" si="8"/>
        <v>15.320755288653686</v>
      </c>
      <c r="Z49" s="344" t="s">
        <v>570</v>
      </c>
      <c r="AA49" s="344">
        <f t="shared" si="9"/>
        <v>15.186360967234862</v>
      </c>
      <c r="AB49" s="344" t="s">
        <v>570</v>
      </c>
      <c r="AC49" s="344">
        <f t="shared" si="10"/>
        <v>15.05430398293612</v>
      </c>
      <c r="AD49" s="344" t="s">
        <v>570</v>
      </c>
      <c r="AE49" s="345">
        <f t="shared" si="12"/>
        <v>14.098750414894596</v>
      </c>
      <c r="AF49" s="311" t="s">
        <v>570</v>
      </c>
      <c r="AG49" s="344">
        <f t="shared" si="13"/>
        <v>15.62273576383626</v>
      </c>
      <c r="AH49" s="322" t="s">
        <v>570</v>
      </c>
      <c r="AI49" s="346">
        <f t="shared" si="15"/>
        <v>14.671562799911044</v>
      </c>
      <c r="AJ49" s="322" t="s">
        <v>570</v>
      </c>
      <c r="AK49" s="346">
        <f t="shared" si="16"/>
        <v>15.755126332361897</v>
      </c>
      <c r="AL49" s="322" t="s">
        <v>570</v>
      </c>
      <c r="AM49" s="346">
        <f t="shared" si="18"/>
        <v>14.417021962409308</v>
      </c>
      <c r="AN49" s="322" t="s">
        <v>570</v>
      </c>
      <c r="AO49" s="347">
        <f t="shared" si="19"/>
        <v>15.484136682786016</v>
      </c>
    </row>
    <row r="50" spans="1:41" ht="13.5" thickBot="1">
      <c r="A50" s="198">
        <v>16</v>
      </c>
      <c r="B50" s="202" t="s">
        <v>494</v>
      </c>
      <c r="C50" s="343">
        <f t="shared" si="17"/>
        <v>-14.04343567348549</v>
      </c>
      <c r="D50" s="311" t="s">
        <v>569</v>
      </c>
      <c r="E50" s="344">
        <f t="shared" si="14"/>
        <v>-15.471363457073195</v>
      </c>
      <c r="F50" s="311" t="s">
        <v>569</v>
      </c>
      <c r="G50" s="344">
        <f t="shared" si="11"/>
        <v>-15.33432566556327</v>
      </c>
      <c r="H50" s="311" t="s">
        <v>569</v>
      </c>
      <c r="I50" s="344">
        <f t="shared" si="20"/>
        <v>-15.19969420339271</v>
      </c>
      <c r="J50" s="344" t="s">
        <v>569</v>
      </c>
      <c r="K50" s="344">
        <f t="shared" si="21"/>
        <v>-15.067406240511616</v>
      </c>
      <c r="L50" s="344" t="s">
        <v>569</v>
      </c>
      <c r="M50" s="344">
        <f t="shared" si="2"/>
        <v>-14.937401115361666</v>
      </c>
      <c r="N50" s="344" t="s">
        <v>569</v>
      </c>
      <c r="O50" s="344">
        <f t="shared" si="3"/>
        <v>-14.809620242121952</v>
      </c>
      <c r="P50" s="344" t="s">
        <v>569</v>
      </c>
      <c r="Q50" s="348">
        <f t="shared" si="4"/>
        <v>196.55242988712212</v>
      </c>
      <c r="R50" s="311" t="s">
        <v>570</v>
      </c>
      <c r="S50" s="344">
        <f t="shared" si="5"/>
        <v>14.684007022677463</v>
      </c>
      <c r="T50" s="344" t="s">
        <v>570</v>
      </c>
      <c r="U50" s="344">
        <f t="shared" si="6"/>
        <v>16.009844686993205</v>
      </c>
      <c r="V50" s="344" t="s">
        <v>570</v>
      </c>
      <c r="W50" s="344">
        <f t="shared" si="7"/>
        <v>14.427033899055658</v>
      </c>
      <c r="X50" s="344" t="s">
        <v>570</v>
      </c>
      <c r="Y50" s="344">
        <f t="shared" si="8"/>
        <v>15.73209879151375</v>
      </c>
      <c r="Z50" s="344" t="s">
        <v>570</v>
      </c>
      <c r="AA50" s="344">
        <f t="shared" si="9"/>
        <v>14.178900296635163</v>
      </c>
      <c r="AB50" s="344" t="s">
        <v>570</v>
      </c>
      <c r="AC50" s="343">
        <f t="shared" si="10"/>
        <v>15.463825542706047</v>
      </c>
      <c r="AD50" s="344" t="s">
        <v>570</v>
      </c>
      <c r="AE50" s="344">
        <f t="shared" si="12"/>
        <v>15.326920663054295</v>
      </c>
      <c r="AF50" s="311" t="s">
        <v>570</v>
      </c>
      <c r="AG50" s="344">
        <f t="shared" si="13"/>
        <v>15.19241862812163</v>
      </c>
      <c r="AH50" s="322" t="s">
        <v>570</v>
      </c>
      <c r="AI50" s="346">
        <f t="shared" si="15"/>
        <v>15.060256728614263</v>
      </c>
      <c r="AJ50" s="322" t="s">
        <v>570</v>
      </c>
      <c r="AK50" s="346">
        <f t="shared" si="16"/>
        <v>14.930374418541874</v>
      </c>
      <c r="AL50" s="322" t="s">
        <v>570</v>
      </c>
      <c r="AM50" s="346">
        <f t="shared" si="18"/>
        <v>14.802713222734212</v>
      </c>
      <c r="AN50" s="322" t="s">
        <v>570</v>
      </c>
      <c r="AO50" s="358">
        <f t="shared" si="19"/>
        <v>16.005359444583007</v>
      </c>
    </row>
    <row r="51" spans="1:41" ht="14.25" thickBot="1" thickTop="1">
      <c r="A51" s="198">
        <v>17</v>
      </c>
      <c r="B51" s="220" t="s">
        <v>481</v>
      </c>
      <c r="C51" s="359">
        <f t="shared" si="17"/>
        <v>-15.738599748309753</v>
      </c>
      <c r="D51" s="360" t="s">
        <v>569</v>
      </c>
      <c r="E51" s="361">
        <f t="shared" si="14"/>
        <v>-14.733995734124164</v>
      </c>
      <c r="F51" s="360" t="s">
        <v>569</v>
      </c>
      <c r="G51" s="361">
        <f t="shared" si="11"/>
        <v>-15.465220898555344</v>
      </c>
      <c r="H51" s="360" t="s">
        <v>569</v>
      </c>
      <c r="I51" s="361">
        <f t="shared" si="20"/>
        <v>-14.480270806090857</v>
      </c>
      <c r="J51" s="360" t="s">
        <v>569</v>
      </c>
      <c r="K51" s="361">
        <f t="shared" si="21"/>
        <v>-15.201177119442036</v>
      </c>
      <c r="L51" s="360" t="s">
        <v>569</v>
      </c>
      <c r="M51" s="361">
        <f t="shared" si="2"/>
        <v>-15.068863454872144</v>
      </c>
      <c r="N51" s="360" t="s">
        <v>569</v>
      </c>
      <c r="O51" s="361">
        <f t="shared" si="3"/>
        <v>-15.765000831363068</v>
      </c>
      <c r="P51" s="360" t="s">
        <v>569</v>
      </c>
      <c r="Q51" s="362">
        <f t="shared" si="4"/>
        <v>0</v>
      </c>
      <c r="R51" s="360" t="s">
        <v>570</v>
      </c>
      <c r="S51" s="361">
        <f t="shared" si="5"/>
        <v>16.44109269189054</v>
      </c>
      <c r="T51" s="360" t="s">
        <v>570</v>
      </c>
      <c r="U51" s="361">
        <f t="shared" si="6"/>
        <v>14.664658452479124</v>
      </c>
      <c r="V51" s="360" t="s">
        <v>570</v>
      </c>
      <c r="W51" s="361">
        <f t="shared" si="7"/>
        <v>14.541482078639142</v>
      </c>
      <c r="X51" s="360" t="s">
        <v>570</v>
      </c>
      <c r="Y51" s="361">
        <f t="shared" si="8"/>
        <v>14.42035773026074</v>
      </c>
      <c r="Z51" s="360" t="s">
        <v>570</v>
      </c>
      <c r="AA51" s="361">
        <f t="shared" si="9"/>
        <v>15.882992588032906</v>
      </c>
      <c r="AB51" s="360" t="s">
        <v>570</v>
      </c>
      <c r="AC51" s="363">
        <f t="shared" si="10"/>
        <v>15.738599748309767</v>
      </c>
      <c r="AD51" s="360" t="s">
        <v>570</v>
      </c>
      <c r="AE51" s="361">
        <f t="shared" si="12"/>
        <v>14.04343567348549</v>
      </c>
      <c r="AF51" s="360" t="s">
        <v>570</v>
      </c>
      <c r="AG51" s="361">
        <f t="shared" si="13"/>
        <v>15.471363457073195</v>
      </c>
      <c r="AH51" s="322" t="s">
        <v>570</v>
      </c>
      <c r="AI51" s="364">
        <f t="shared" si="15"/>
        <v>15.33432566556327</v>
      </c>
      <c r="AJ51" s="322" t="s">
        <v>570</v>
      </c>
      <c r="AK51" s="364">
        <f t="shared" si="16"/>
        <v>15.19969420339271</v>
      </c>
      <c r="AL51" s="322" t="s">
        <v>570</v>
      </c>
      <c r="AM51" s="364">
        <f t="shared" si="18"/>
        <v>15.067406240511616</v>
      </c>
      <c r="AN51" s="322" t="s">
        <v>570</v>
      </c>
      <c r="AO51" s="365">
        <f t="shared" si="19"/>
        <v>14.937401115361666</v>
      </c>
    </row>
    <row r="52" spans="1:41" ht="13.5" thickTop="1">
      <c r="A52" s="198">
        <v>18</v>
      </c>
      <c r="B52" s="202" t="s">
        <v>480</v>
      </c>
      <c r="C52" s="343">
        <f t="shared" si="17"/>
        <v>-14.971254003933495</v>
      </c>
      <c r="D52" s="311" t="s">
        <v>569</v>
      </c>
      <c r="E52" s="344">
        <f t="shared" si="14"/>
        <v>-15.556239420477027</v>
      </c>
      <c r="F52" s="311" t="s">
        <v>569</v>
      </c>
      <c r="G52" s="344">
        <f t="shared" si="11"/>
        <v>-14.609656735322915</v>
      </c>
      <c r="H52" s="311" t="s">
        <v>569</v>
      </c>
      <c r="I52" s="344">
        <f t="shared" si="20"/>
        <v>-15.388848429100562</v>
      </c>
      <c r="J52" s="344" t="s">
        <v>569</v>
      </c>
      <c r="K52" s="344">
        <f t="shared" si="21"/>
        <v>-15.253262099464337</v>
      </c>
      <c r="L52" s="344" t="s">
        <v>569</v>
      </c>
      <c r="M52" s="344">
        <f t="shared" si="2"/>
        <v>-15.12004413556042</v>
      </c>
      <c r="N52" s="344" t="s">
        <v>569</v>
      </c>
      <c r="O52" s="344">
        <f t="shared" si="3"/>
        <v>-14.11100261852539</v>
      </c>
      <c r="P52" s="344" t="s">
        <v>569</v>
      </c>
      <c r="Q52" s="329">
        <f t="shared" si="4"/>
        <v>-106.45312859275737</v>
      </c>
      <c r="R52" s="311" t="s">
        <v>570</v>
      </c>
      <c r="S52" s="344">
        <f t="shared" si="5"/>
        <v>15.738599748309753</v>
      </c>
      <c r="T52" s="344" t="s">
        <v>570</v>
      </c>
      <c r="U52" s="344">
        <f t="shared" si="6"/>
        <v>14.733995734124164</v>
      </c>
      <c r="V52" s="344" t="s">
        <v>570</v>
      </c>
      <c r="W52" s="344">
        <f t="shared" si="7"/>
        <v>15.465220898555344</v>
      </c>
      <c r="X52" s="344" t="s">
        <v>570</v>
      </c>
      <c r="Y52" s="344">
        <f t="shared" si="8"/>
        <v>14.480270806090857</v>
      </c>
      <c r="Z52" s="344" t="s">
        <v>570</v>
      </c>
      <c r="AA52" s="344">
        <f t="shared" si="9"/>
        <v>15.201177119442036</v>
      </c>
      <c r="AB52" s="344" t="s">
        <v>570</v>
      </c>
      <c r="AC52" s="344">
        <f t="shared" si="10"/>
        <v>15.068863454872144</v>
      </c>
      <c r="AD52" s="344" t="s">
        <v>570</v>
      </c>
      <c r="AE52" s="345">
        <f t="shared" si="12"/>
        <v>15.765000831363068</v>
      </c>
      <c r="AF52" s="311" t="s">
        <v>570</v>
      </c>
      <c r="AG52" s="344">
        <f t="shared" si="13"/>
        <v>16.44109269189054</v>
      </c>
      <c r="AH52" s="322" t="s">
        <v>570</v>
      </c>
      <c r="AI52" s="346">
        <f t="shared" si="15"/>
        <v>14.664658452479124</v>
      </c>
      <c r="AJ52" s="322" t="s">
        <v>570</v>
      </c>
      <c r="AK52" s="346">
        <f t="shared" si="16"/>
        <v>14.541482078639142</v>
      </c>
      <c r="AL52" s="322" t="s">
        <v>570</v>
      </c>
      <c r="AM52" s="346">
        <f t="shared" si="18"/>
        <v>14.42035773026074</v>
      </c>
      <c r="AN52" s="322" t="s">
        <v>570</v>
      </c>
      <c r="AO52" s="366">
        <f t="shared" si="19"/>
        <v>15.882992588032906</v>
      </c>
    </row>
    <row r="53" spans="1:41" ht="12.75">
      <c r="A53" s="198">
        <v>19</v>
      </c>
      <c r="B53" s="202" t="s">
        <v>479</v>
      </c>
      <c r="C53" s="343">
        <f t="shared" si="17"/>
        <v>-15.610872674234997</v>
      </c>
      <c r="D53" s="311" t="s">
        <v>569</v>
      </c>
      <c r="E53" s="344">
        <f t="shared" si="14"/>
        <v>-14.444229609639592</v>
      </c>
      <c r="F53" s="311" t="s">
        <v>569</v>
      </c>
      <c r="G53" s="344">
        <f t="shared" si="11"/>
        <v>-15.343385947011825</v>
      </c>
      <c r="H53" s="311" t="s">
        <v>569</v>
      </c>
      <c r="I53" s="344">
        <f t="shared" si="20"/>
        <v>-15.20859604213274</v>
      </c>
      <c r="J53" s="344" t="s">
        <v>569</v>
      </c>
      <c r="K53" s="344">
        <f t="shared" si="21"/>
        <v>-15.07615375669468</v>
      </c>
      <c r="L53" s="344" t="s">
        <v>569</v>
      </c>
      <c r="M53" s="344">
        <f t="shared" si="2"/>
        <v>-14.945998287513135</v>
      </c>
      <c r="N53" s="344" t="s">
        <v>569</v>
      </c>
      <c r="O53" s="344">
        <f t="shared" si="3"/>
        <v>-14.818070913173983</v>
      </c>
      <c r="P53" s="344" t="s">
        <v>569</v>
      </c>
      <c r="Q53" s="348">
        <f t="shared" si="4"/>
        <v>-302.4759456153489</v>
      </c>
      <c r="R53" s="311" t="s">
        <v>570</v>
      </c>
      <c r="S53" s="344">
        <f t="shared" si="5"/>
        <v>15.667383390535747</v>
      </c>
      <c r="T53" s="344" t="s">
        <v>570</v>
      </c>
      <c r="U53" s="344">
        <f t="shared" si="6"/>
        <v>14.560506763026297</v>
      </c>
      <c r="V53" s="344" t="s">
        <v>570</v>
      </c>
      <c r="W53" s="344">
        <f t="shared" si="7"/>
        <v>16.355208515071695</v>
      </c>
      <c r="X53" s="344" t="s">
        <v>570</v>
      </c>
      <c r="Y53" s="344">
        <f t="shared" si="8"/>
        <v>15.253262099464905</v>
      </c>
      <c r="Z53" s="344" t="s">
        <v>570</v>
      </c>
      <c r="AA53" s="344">
        <f t="shared" si="9"/>
        <v>14.17890029663522</v>
      </c>
      <c r="AB53" s="344" t="s">
        <v>570</v>
      </c>
      <c r="AC53" s="343">
        <f t="shared" si="10"/>
        <v>14.99724851547353</v>
      </c>
      <c r="AD53" s="344" t="s">
        <v>570</v>
      </c>
      <c r="AE53" s="344">
        <f t="shared" si="12"/>
        <v>14.971254003933495</v>
      </c>
      <c r="AF53" s="311" t="s">
        <v>570</v>
      </c>
      <c r="AG53" s="344">
        <f t="shared" si="13"/>
        <v>15.556239420477027</v>
      </c>
      <c r="AH53" s="322" t="s">
        <v>570</v>
      </c>
      <c r="AI53" s="346">
        <f t="shared" si="15"/>
        <v>14.609656735322915</v>
      </c>
      <c r="AJ53" s="322" t="s">
        <v>570</v>
      </c>
      <c r="AK53" s="346">
        <f t="shared" si="16"/>
        <v>15.388848429100562</v>
      </c>
      <c r="AL53" s="322" t="s">
        <v>570</v>
      </c>
      <c r="AM53" s="346">
        <f t="shared" si="18"/>
        <v>15.253262099464337</v>
      </c>
      <c r="AN53" s="322" t="s">
        <v>570</v>
      </c>
      <c r="AO53" s="367">
        <f t="shared" si="19"/>
        <v>15.12004413556042</v>
      </c>
    </row>
    <row r="54" spans="1:41" ht="12.75">
      <c r="A54" s="198">
        <v>20</v>
      </c>
      <c r="B54" s="202" t="s">
        <v>478</v>
      </c>
      <c r="C54" s="343">
        <f t="shared" si="17"/>
        <v>-14.046600782734458</v>
      </c>
      <c r="D54" s="311" t="s">
        <v>569</v>
      </c>
      <c r="E54" s="344">
        <f t="shared" si="14"/>
        <v>-16.24494271167805</v>
      </c>
      <c r="F54" s="311" t="s">
        <v>569</v>
      </c>
      <c r="G54" s="344">
        <f t="shared" si="11"/>
        <v>-14.94930752785558</v>
      </c>
      <c r="H54" s="311" t="s">
        <v>569</v>
      </c>
      <c r="I54" s="344">
        <f t="shared" si="20"/>
        <v>-14.82132373984598</v>
      </c>
      <c r="J54" s="344" t="s">
        <v>569</v>
      </c>
      <c r="K54" s="344">
        <f t="shared" si="21"/>
        <v>-15.820786788719033</v>
      </c>
      <c r="L54" s="344" t="s">
        <v>569</v>
      </c>
      <c r="M54" s="344">
        <f t="shared" si="2"/>
        <v>-14.562391030700951</v>
      </c>
      <c r="N54" s="344" t="s">
        <v>569</v>
      </c>
      <c r="O54" s="344">
        <f t="shared" si="3"/>
        <v>-22.167192085774445</v>
      </c>
      <c r="P54" s="344" t="s">
        <v>569</v>
      </c>
      <c r="Q54" s="348">
        <f t="shared" si="4"/>
        <v>-498.0449991346127</v>
      </c>
      <c r="R54" s="311" t="s">
        <v>570</v>
      </c>
      <c r="S54" s="344">
        <f t="shared" si="5"/>
        <v>15.34986413444642</v>
      </c>
      <c r="T54" s="344" t="s">
        <v>570</v>
      </c>
      <c r="U54" s="344">
        <f t="shared" si="6"/>
        <v>15.214960884895618</v>
      </c>
      <c r="V54" s="344" t="s">
        <v>570</v>
      </c>
      <c r="W54" s="344">
        <f t="shared" si="7"/>
        <v>15.082408203666773</v>
      </c>
      <c r="X54" s="344" t="s">
        <v>570</v>
      </c>
      <c r="Y54" s="344">
        <f t="shared" si="8"/>
        <v>14.952145186159896</v>
      </c>
      <c r="Z54" s="344" t="s">
        <v>570</v>
      </c>
      <c r="AA54" s="344">
        <f t="shared" si="9"/>
        <v>14.82411301386935</v>
      </c>
      <c r="AB54" s="344" t="s">
        <v>570</v>
      </c>
      <c r="AC54" s="343">
        <f t="shared" si="10"/>
        <v>14.698254865824765</v>
      </c>
      <c r="AD54" s="344" t="s">
        <v>570</v>
      </c>
      <c r="AE54" s="344">
        <f t="shared" si="12"/>
        <v>15.610872674234997</v>
      </c>
      <c r="AF54" s="311" t="s">
        <v>570</v>
      </c>
      <c r="AG54" s="344">
        <f t="shared" si="13"/>
        <v>14.444229609639592</v>
      </c>
      <c r="AH54" s="322" t="s">
        <v>570</v>
      </c>
      <c r="AI54" s="346">
        <f t="shared" si="15"/>
        <v>15.343385947011825</v>
      </c>
      <c r="AJ54" s="322" t="s">
        <v>570</v>
      </c>
      <c r="AK54" s="346">
        <f t="shared" si="16"/>
        <v>15.20859604213274</v>
      </c>
      <c r="AL54" s="322" t="s">
        <v>570</v>
      </c>
      <c r="AM54" s="346">
        <f t="shared" si="18"/>
        <v>15.07615375669468</v>
      </c>
      <c r="AN54" s="322" t="s">
        <v>570</v>
      </c>
      <c r="AO54" s="367">
        <f t="shared" si="19"/>
        <v>14.945998287513135</v>
      </c>
    </row>
    <row r="55" spans="1:41" ht="12.75">
      <c r="A55" s="198">
        <v>21</v>
      </c>
      <c r="B55" s="202" t="s">
        <v>476</v>
      </c>
      <c r="C55" s="345">
        <f t="shared" si="17"/>
        <v>-15.726685428634141</v>
      </c>
      <c r="D55" s="311" t="s">
        <v>569</v>
      </c>
      <c r="E55" s="344">
        <f t="shared" si="14"/>
        <v>-14.291694325521348</v>
      </c>
      <c r="F55" s="311" t="s">
        <v>569</v>
      </c>
      <c r="G55" s="344">
        <f t="shared" si="11"/>
        <v>-15.457549556078447</v>
      </c>
      <c r="H55" s="311" t="s">
        <v>569</v>
      </c>
      <c r="I55" s="344">
        <f t="shared" si="20"/>
        <v>-15.320755288653686</v>
      </c>
      <c r="J55" s="311" t="s">
        <v>569</v>
      </c>
      <c r="K55" s="344">
        <f t="shared" si="21"/>
        <v>-15.186360967234918</v>
      </c>
      <c r="L55" s="311" t="s">
        <v>569</v>
      </c>
      <c r="M55" s="344">
        <f t="shared" si="2"/>
        <v>-15.054303982936062</v>
      </c>
      <c r="N55" s="311" t="s">
        <v>569</v>
      </c>
      <c r="O55" s="344">
        <f t="shared" si="3"/>
        <v>-14.098750414894539</v>
      </c>
      <c r="P55" s="311" t="s">
        <v>569</v>
      </c>
      <c r="Q55" s="329">
        <f t="shared" si="4"/>
        <v>-701.9550008653894</v>
      </c>
      <c r="R55" s="311" t="s">
        <v>570</v>
      </c>
      <c r="S55" s="344">
        <f t="shared" si="5"/>
        <v>15.622735763836317</v>
      </c>
      <c r="T55" s="311" t="s">
        <v>570</v>
      </c>
      <c r="U55" s="344">
        <f t="shared" si="6"/>
        <v>14.671562799911044</v>
      </c>
      <c r="V55" s="311" t="s">
        <v>570</v>
      </c>
      <c r="W55" s="344">
        <f t="shared" si="7"/>
        <v>15.755126332361897</v>
      </c>
      <c r="X55" s="311" t="s">
        <v>570</v>
      </c>
      <c r="Y55" s="344">
        <f t="shared" si="8"/>
        <v>14.417021962409308</v>
      </c>
      <c r="Z55" s="311" t="s">
        <v>570</v>
      </c>
      <c r="AA55" s="344">
        <f t="shared" si="9"/>
        <v>15.484136682786016</v>
      </c>
      <c r="AB55" s="311" t="s">
        <v>570</v>
      </c>
      <c r="AC55" s="343">
        <f t="shared" si="10"/>
        <v>15.346873522163605</v>
      </c>
      <c r="AD55" s="311" t="s">
        <v>570</v>
      </c>
      <c r="AE55" s="344">
        <f t="shared" si="12"/>
        <v>14.046600782734458</v>
      </c>
      <c r="AF55" s="311" t="s">
        <v>570</v>
      </c>
      <c r="AG55" s="344">
        <f t="shared" si="13"/>
        <v>16.24494271167805</v>
      </c>
      <c r="AH55" s="322" t="s">
        <v>570</v>
      </c>
      <c r="AI55" s="346">
        <f t="shared" si="15"/>
        <v>14.94930752785558</v>
      </c>
      <c r="AJ55" s="322" t="s">
        <v>570</v>
      </c>
      <c r="AK55" s="346">
        <f t="shared" si="16"/>
        <v>14.82132373984598</v>
      </c>
      <c r="AL55" s="322" t="s">
        <v>570</v>
      </c>
      <c r="AM55" s="346">
        <f t="shared" si="18"/>
        <v>15.820786788719033</v>
      </c>
      <c r="AN55" s="322" t="s">
        <v>570</v>
      </c>
      <c r="AO55" s="367">
        <f t="shared" si="19"/>
        <v>14.562391030700951</v>
      </c>
    </row>
    <row r="56" spans="1:41" ht="12.75">
      <c r="A56" s="198">
        <v>22</v>
      </c>
      <c r="B56" s="202" t="s">
        <v>477</v>
      </c>
      <c r="C56" s="343">
        <f t="shared" si="17"/>
        <v>-15.326920663054352</v>
      </c>
      <c r="D56" s="311" t="s">
        <v>569</v>
      </c>
      <c r="E56" s="344">
        <f t="shared" si="14"/>
        <v>-15.192418628121573</v>
      </c>
      <c r="F56" s="311" t="s">
        <v>569</v>
      </c>
      <c r="G56" s="344">
        <f t="shared" si="11"/>
        <v>-15.060256728614263</v>
      </c>
      <c r="H56" s="311" t="s">
        <v>569</v>
      </c>
      <c r="I56" s="344">
        <f t="shared" si="20"/>
        <v>-14.930374418541874</v>
      </c>
      <c r="J56" s="311" t="s">
        <v>569</v>
      </c>
      <c r="K56" s="344">
        <f t="shared" si="21"/>
        <v>-14.802713222734269</v>
      </c>
      <c r="L56" s="311" t="s">
        <v>569</v>
      </c>
      <c r="M56" s="344">
        <f t="shared" si="2"/>
        <v>-16.00535944458295</v>
      </c>
      <c r="N56" s="311" t="s">
        <v>569</v>
      </c>
      <c r="O56" s="344">
        <f t="shared" si="3"/>
        <v>-14.54271593830481</v>
      </c>
      <c r="P56" s="311" t="s">
        <v>569</v>
      </c>
      <c r="Q56" s="329">
        <f t="shared" si="4"/>
        <v>-807.0911008293425</v>
      </c>
      <c r="R56" s="311" t="s">
        <v>570</v>
      </c>
      <c r="S56" s="344">
        <f t="shared" si="5"/>
        <v>15.726685428634141</v>
      </c>
      <c r="T56" s="311" t="s">
        <v>570</v>
      </c>
      <c r="U56" s="344">
        <f t="shared" si="6"/>
        <v>14.291694325521348</v>
      </c>
      <c r="V56" s="311" t="s">
        <v>570</v>
      </c>
      <c r="W56" s="344">
        <f t="shared" si="7"/>
        <v>15.457549556078447</v>
      </c>
      <c r="X56" s="311" t="s">
        <v>570</v>
      </c>
      <c r="Y56" s="344">
        <f t="shared" si="8"/>
        <v>15.320755288653686</v>
      </c>
      <c r="Z56" s="311" t="s">
        <v>570</v>
      </c>
      <c r="AA56" s="344">
        <f t="shared" si="9"/>
        <v>15.186360967234918</v>
      </c>
      <c r="AB56" s="311" t="s">
        <v>570</v>
      </c>
      <c r="AC56" s="344">
        <f t="shared" si="10"/>
        <v>15.054303982936062</v>
      </c>
      <c r="AD56" s="311" t="s">
        <v>570</v>
      </c>
      <c r="AE56" s="345">
        <f t="shared" si="12"/>
        <v>14.098750414894539</v>
      </c>
      <c r="AF56" s="311" t="s">
        <v>570</v>
      </c>
      <c r="AG56" s="344">
        <f t="shared" si="13"/>
        <v>15.622735763836317</v>
      </c>
      <c r="AH56" s="322" t="s">
        <v>570</v>
      </c>
      <c r="AI56" s="346">
        <f t="shared" si="15"/>
        <v>14.671562799911044</v>
      </c>
      <c r="AJ56" s="322" t="s">
        <v>570</v>
      </c>
      <c r="AK56" s="346">
        <f t="shared" si="16"/>
        <v>15.755126332361897</v>
      </c>
      <c r="AL56" s="322" t="s">
        <v>570</v>
      </c>
      <c r="AM56" s="346">
        <f t="shared" si="18"/>
        <v>14.417021962409308</v>
      </c>
      <c r="AN56" s="322" t="s">
        <v>570</v>
      </c>
      <c r="AO56" s="367">
        <f t="shared" si="19"/>
        <v>15.484136682786016</v>
      </c>
    </row>
    <row r="57" spans="1:41" ht="12.75">
      <c r="A57" s="198">
        <v>23</v>
      </c>
      <c r="B57" s="202" t="s">
        <v>475</v>
      </c>
      <c r="C57" s="343">
        <f t="shared" si="17"/>
        <v>-14.043435673485419</v>
      </c>
      <c r="D57" s="311" t="s">
        <v>569</v>
      </c>
      <c r="E57" s="344">
        <f t="shared" si="14"/>
        <v>-15.471363457073267</v>
      </c>
      <c r="F57" s="311" t="s">
        <v>569</v>
      </c>
      <c r="G57" s="344">
        <f t="shared" si="11"/>
        <v>-15.334325665563256</v>
      </c>
      <c r="H57" s="311" t="s">
        <v>569</v>
      </c>
      <c r="I57" s="344">
        <f t="shared" si="20"/>
        <v>-15.19969420339271</v>
      </c>
      <c r="J57" s="311" t="s">
        <v>569</v>
      </c>
      <c r="K57" s="344">
        <f t="shared" si="21"/>
        <v>-15.067406240511673</v>
      </c>
      <c r="L57" s="311" t="s">
        <v>569</v>
      </c>
      <c r="M57" s="344">
        <f t="shared" si="2"/>
        <v>-14.937401115361695</v>
      </c>
      <c r="N57" s="311" t="s">
        <v>569</v>
      </c>
      <c r="O57" s="344">
        <f t="shared" si="3"/>
        <v>-14.809620242121923</v>
      </c>
      <c r="P57" s="311" t="s">
        <v>569</v>
      </c>
      <c r="Q57" s="348">
        <f t="shared" si="4"/>
        <v>-1003.4475701128779</v>
      </c>
      <c r="R57" s="311" t="s">
        <v>570</v>
      </c>
      <c r="S57" s="344">
        <f t="shared" si="5"/>
        <v>14.684007022677406</v>
      </c>
      <c r="T57" s="311" t="s">
        <v>570</v>
      </c>
      <c r="U57" s="344">
        <f t="shared" si="6"/>
        <v>16.009844686993233</v>
      </c>
      <c r="V57" s="311" t="s">
        <v>570</v>
      </c>
      <c r="W57" s="344">
        <f t="shared" si="7"/>
        <v>14.427033899055687</v>
      </c>
      <c r="X57" s="311" t="s">
        <v>570</v>
      </c>
      <c r="Y57" s="344">
        <f t="shared" si="8"/>
        <v>15.73209879151375</v>
      </c>
      <c r="Z57" s="311" t="s">
        <v>570</v>
      </c>
      <c r="AA57" s="344">
        <f t="shared" si="9"/>
        <v>14.17890029663522</v>
      </c>
      <c r="AB57" s="311" t="s">
        <v>570</v>
      </c>
      <c r="AC57" s="343">
        <f t="shared" si="10"/>
        <v>15.46382554270599</v>
      </c>
      <c r="AD57" s="311" t="s">
        <v>570</v>
      </c>
      <c r="AE57" s="344">
        <f t="shared" si="12"/>
        <v>15.326920663054352</v>
      </c>
      <c r="AF57" s="311" t="s">
        <v>570</v>
      </c>
      <c r="AG57" s="344">
        <f t="shared" si="13"/>
        <v>15.192418628121573</v>
      </c>
      <c r="AH57" s="322" t="s">
        <v>570</v>
      </c>
      <c r="AI57" s="346">
        <f t="shared" si="15"/>
        <v>15.060256728614263</v>
      </c>
      <c r="AJ57" s="322" t="s">
        <v>570</v>
      </c>
      <c r="AK57" s="346">
        <f t="shared" si="16"/>
        <v>14.930374418541874</v>
      </c>
      <c r="AL57" s="322" t="s">
        <v>570</v>
      </c>
      <c r="AM57" s="346">
        <f t="shared" si="18"/>
        <v>14.802713222734269</v>
      </c>
      <c r="AN57" s="322" t="s">
        <v>570</v>
      </c>
      <c r="AO57" s="367">
        <f t="shared" si="19"/>
        <v>16.00535944458295</v>
      </c>
    </row>
    <row r="58" spans="1:41" ht="12.75">
      <c r="A58" s="198">
        <v>24</v>
      </c>
      <c r="B58" s="202" t="s">
        <v>474</v>
      </c>
      <c r="C58" s="345">
        <f t="shared" si="17"/>
        <v>-15.738599748309753</v>
      </c>
      <c r="D58" s="311" t="s">
        <v>569</v>
      </c>
      <c r="E58" s="344">
        <f t="shared" si="14"/>
        <v>-14.733995734124164</v>
      </c>
      <c r="F58" s="311" t="s">
        <v>569</v>
      </c>
      <c r="G58" s="344">
        <f t="shared" si="11"/>
        <v>-15.465220898555344</v>
      </c>
      <c r="H58" s="311" t="s">
        <v>569</v>
      </c>
      <c r="I58" s="344">
        <f t="shared" si="20"/>
        <v>-14.480270806090857</v>
      </c>
      <c r="J58" s="311" t="s">
        <v>569</v>
      </c>
      <c r="K58" s="344">
        <f t="shared" si="21"/>
        <v>-15.201177119442036</v>
      </c>
      <c r="L58" s="311" t="s">
        <v>569</v>
      </c>
      <c r="M58" s="344">
        <f t="shared" si="2"/>
        <v>-15.068863454872144</v>
      </c>
      <c r="N58" s="311" t="s">
        <v>569</v>
      </c>
      <c r="O58" s="344">
        <f t="shared" si="3"/>
        <v>-15.765000831363068</v>
      </c>
      <c r="P58" s="311" t="s">
        <v>569</v>
      </c>
      <c r="Q58" s="329">
        <f t="shared" si="4"/>
        <v>-1200</v>
      </c>
      <c r="R58" s="311" t="s">
        <v>570</v>
      </c>
      <c r="S58" s="344">
        <f t="shared" si="5"/>
        <v>16.441092691890617</v>
      </c>
      <c r="T58" s="311" t="s">
        <v>570</v>
      </c>
      <c r="U58" s="344">
        <f t="shared" si="6"/>
        <v>14.664658452478989</v>
      </c>
      <c r="V58" s="311" t="s">
        <v>570</v>
      </c>
      <c r="W58" s="344">
        <f t="shared" si="7"/>
        <v>14.541482078639092</v>
      </c>
      <c r="X58" s="311" t="s">
        <v>570</v>
      </c>
      <c r="Y58" s="344">
        <f t="shared" si="8"/>
        <v>14.420357730260775</v>
      </c>
      <c r="Z58" s="311" t="s">
        <v>570</v>
      </c>
      <c r="AA58" s="344">
        <f t="shared" si="9"/>
        <v>15.882992588032948</v>
      </c>
      <c r="AB58" s="311" t="s">
        <v>570</v>
      </c>
      <c r="AC58" s="343">
        <f t="shared" si="10"/>
        <v>15.738599748309753</v>
      </c>
      <c r="AD58" s="311" t="s">
        <v>570</v>
      </c>
      <c r="AE58" s="344">
        <f t="shared" si="12"/>
        <v>14.043435673485419</v>
      </c>
      <c r="AF58" s="311" t="s">
        <v>570</v>
      </c>
      <c r="AG58" s="344">
        <f t="shared" si="13"/>
        <v>15.471363457073267</v>
      </c>
      <c r="AH58" s="322" t="s">
        <v>570</v>
      </c>
      <c r="AI58" s="346">
        <f t="shared" si="15"/>
        <v>15.334325665563256</v>
      </c>
      <c r="AJ58" s="322" t="s">
        <v>570</v>
      </c>
      <c r="AK58" s="346">
        <f t="shared" si="16"/>
        <v>15.19969420339271</v>
      </c>
      <c r="AL58" s="322" t="s">
        <v>570</v>
      </c>
      <c r="AM58" s="346">
        <f t="shared" si="18"/>
        <v>15.067406240511673</v>
      </c>
      <c r="AN58" s="322" t="s">
        <v>570</v>
      </c>
      <c r="AO58" s="367">
        <f t="shared" si="19"/>
        <v>14.937401115361695</v>
      </c>
    </row>
    <row r="59" spans="1:41" ht="12.75">
      <c r="A59" s="198">
        <v>25</v>
      </c>
      <c r="B59" s="202" t="s">
        <v>473</v>
      </c>
      <c r="C59" s="343">
        <f t="shared" si="17"/>
        <v>-14.971254003933609</v>
      </c>
      <c r="D59" s="311" t="s">
        <v>569</v>
      </c>
      <c r="E59" s="344">
        <f t="shared" si="14"/>
        <v>-15.556239420476913</v>
      </c>
      <c r="F59" s="311" t="s">
        <v>569</v>
      </c>
      <c r="G59" s="344">
        <f t="shared" si="11"/>
        <v>-14.609656735322915</v>
      </c>
      <c r="H59" s="311" t="s">
        <v>569</v>
      </c>
      <c r="I59" s="344">
        <f t="shared" si="20"/>
        <v>-15.388848429100562</v>
      </c>
      <c r="J59" s="311" t="s">
        <v>569</v>
      </c>
      <c r="K59" s="344">
        <f t="shared" si="21"/>
        <v>-15.253262099464337</v>
      </c>
      <c r="L59" s="311" t="s">
        <v>569</v>
      </c>
      <c r="M59" s="344">
        <f t="shared" si="2"/>
        <v>-15.12004413556042</v>
      </c>
      <c r="N59" s="311" t="s">
        <v>569</v>
      </c>
      <c r="O59" s="344">
        <f t="shared" si="3"/>
        <v>-14.11100261852539</v>
      </c>
      <c r="P59" s="311" t="s">
        <v>569</v>
      </c>
      <c r="Q59" s="329">
        <f t="shared" si="4"/>
        <v>-1306.4531285927574</v>
      </c>
      <c r="R59" s="311" t="s">
        <v>570</v>
      </c>
      <c r="S59" s="344">
        <f t="shared" si="5"/>
        <v>15.738599748309753</v>
      </c>
      <c r="T59" s="311" t="s">
        <v>570</v>
      </c>
      <c r="U59" s="344">
        <f t="shared" si="6"/>
        <v>14.733995734124164</v>
      </c>
      <c r="V59" s="311" t="s">
        <v>570</v>
      </c>
      <c r="W59" s="344">
        <f t="shared" si="7"/>
        <v>15.465220898555344</v>
      </c>
      <c r="X59" s="311" t="s">
        <v>570</v>
      </c>
      <c r="Y59" s="344">
        <f t="shared" si="8"/>
        <v>14.480270806090857</v>
      </c>
      <c r="Z59" s="311" t="s">
        <v>570</v>
      </c>
      <c r="AA59" s="344">
        <f t="shared" si="9"/>
        <v>15.201177119442036</v>
      </c>
      <c r="AB59" s="311" t="s">
        <v>570</v>
      </c>
      <c r="AC59" s="344">
        <f t="shared" si="10"/>
        <v>15.068863454872144</v>
      </c>
      <c r="AD59" s="311" t="s">
        <v>570</v>
      </c>
      <c r="AE59" s="345">
        <f t="shared" si="12"/>
        <v>15.765000831363068</v>
      </c>
      <c r="AF59" s="311" t="s">
        <v>570</v>
      </c>
      <c r="AG59" s="344">
        <f t="shared" si="13"/>
        <v>16.441092691890617</v>
      </c>
      <c r="AH59" s="322" t="s">
        <v>570</v>
      </c>
      <c r="AI59" s="346">
        <f t="shared" si="15"/>
        <v>14.664658452478989</v>
      </c>
      <c r="AJ59" s="322" t="s">
        <v>570</v>
      </c>
      <c r="AK59" s="346">
        <f t="shared" si="16"/>
        <v>14.541482078639092</v>
      </c>
      <c r="AL59" s="322" t="s">
        <v>570</v>
      </c>
      <c r="AM59" s="346">
        <f t="shared" si="18"/>
        <v>14.420357730260775</v>
      </c>
      <c r="AN59" s="322" t="s">
        <v>570</v>
      </c>
      <c r="AO59" s="367">
        <f t="shared" si="19"/>
        <v>15.882992588032948</v>
      </c>
    </row>
    <row r="60" spans="1:41" ht="13.5" thickBot="1">
      <c r="A60" s="203">
        <v>26</v>
      </c>
      <c r="B60" s="204" t="s">
        <v>472</v>
      </c>
      <c r="C60" s="368">
        <f t="shared" si="17"/>
        <v>-15.610872674234997</v>
      </c>
      <c r="D60" s="369" t="s">
        <v>569</v>
      </c>
      <c r="E60" s="370">
        <f t="shared" si="14"/>
        <v>-14.444229609639706</v>
      </c>
      <c r="F60" s="369" t="s">
        <v>569</v>
      </c>
      <c r="G60" s="370">
        <f t="shared" si="11"/>
        <v>-15.343385947011711</v>
      </c>
      <c r="H60" s="369" t="s">
        <v>569</v>
      </c>
      <c r="I60" s="370">
        <f t="shared" si="20"/>
        <v>-15.20859604213274</v>
      </c>
      <c r="J60" s="369" t="s">
        <v>569</v>
      </c>
      <c r="K60" s="370">
        <f t="shared" si="21"/>
        <v>-15.076153756694794</v>
      </c>
      <c r="L60" s="369" t="s">
        <v>569</v>
      </c>
      <c r="M60" s="370">
        <f t="shared" si="2"/>
        <v>-14.94599828751302</v>
      </c>
      <c r="N60" s="369" t="s">
        <v>569</v>
      </c>
      <c r="O60" s="370">
        <f t="shared" si="3"/>
        <v>-14.818070913174097</v>
      </c>
      <c r="P60" s="369" t="s">
        <v>569</v>
      </c>
      <c r="Q60" s="371">
        <f t="shared" si="4"/>
        <v>-1502.4759456153488</v>
      </c>
      <c r="R60" s="369" t="s">
        <v>570</v>
      </c>
      <c r="S60" s="370">
        <f t="shared" si="5"/>
        <v>15.667383390535633</v>
      </c>
      <c r="T60" s="369" t="s">
        <v>570</v>
      </c>
      <c r="U60" s="370">
        <f t="shared" si="6"/>
        <v>14.560506763026297</v>
      </c>
      <c r="V60" s="369" t="s">
        <v>570</v>
      </c>
      <c r="W60" s="370">
        <f t="shared" si="7"/>
        <v>16.35520851507181</v>
      </c>
      <c r="X60" s="369" t="s">
        <v>570</v>
      </c>
      <c r="Y60" s="370">
        <f t="shared" si="8"/>
        <v>15.253262099464791</v>
      </c>
      <c r="Z60" s="369" t="s">
        <v>570</v>
      </c>
      <c r="AA60" s="370">
        <f t="shared" si="9"/>
        <v>14.17890029663522</v>
      </c>
      <c r="AB60" s="369" t="s">
        <v>570</v>
      </c>
      <c r="AC60" s="372">
        <f t="shared" si="10"/>
        <v>14.99724851547353</v>
      </c>
      <c r="AD60" s="369" t="s">
        <v>570</v>
      </c>
      <c r="AE60" s="370">
        <f t="shared" si="12"/>
        <v>14.971254003933609</v>
      </c>
      <c r="AF60" s="369" t="s">
        <v>570</v>
      </c>
      <c r="AG60" s="370">
        <f t="shared" si="13"/>
        <v>15.556239420476913</v>
      </c>
      <c r="AH60" s="369"/>
      <c r="AI60" s="373"/>
      <c r="AJ60" s="369"/>
      <c r="AK60" s="373"/>
      <c r="AL60" s="369"/>
      <c r="AM60" s="373"/>
      <c r="AN60" s="374" t="s">
        <v>570</v>
      </c>
      <c r="AO60" s="375">
        <f>AO28-AG28</f>
        <v>60.371811399448234</v>
      </c>
    </row>
    <row r="61" spans="1:41" ht="12.7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row>
    <row r="62" spans="1:41" ht="12.7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row>
    <row r="63" spans="1:41" ht="12.7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row>
    <row r="64" spans="1:41" ht="12.7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row>
    <row r="65" spans="1:41" ht="20.25">
      <c r="A65" s="197"/>
      <c r="B65" s="197"/>
      <c r="C65" s="197"/>
      <c r="D65" s="197"/>
      <c r="E65" s="197"/>
      <c r="F65" s="197"/>
      <c r="G65" s="197"/>
      <c r="H65" s="197"/>
      <c r="I65" s="409" t="s">
        <v>572</v>
      </c>
      <c r="J65" s="409"/>
      <c r="K65" s="409"/>
      <c r="L65" s="409"/>
      <c r="M65" s="409"/>
      <c r="N65" s="409"/>
      <c r="O65" s="409"/>
      <c r="P65" s="409"/>
      <c r="Q65" s="409"/>
      <c r="R65" s="409"/>
      <c r="S65" s="409"/>
      <c r="T65" s="409"/>
      <c r="U65" s="409"/>
      <c r="V65" s="409"/>
      <c r="W65" s="409"/>
      <c r="X65" s="409"/>
      <c r="Y65" s="409"/>
      <c r="Z65" s="197"/>
      <c r="AA65" s="197"/>
      <c r="AB65" s="197"/>
      <c r="AC65" s="197"/>
      <c r="AD65" s="197"/>
      <c r="AE65" s="197"/>
      <c r="AF65" s="197"/>
      <c r="AG65" s="197"/>
      <c r="AH65" s="197"/>
      <c r="AI65" s="197"/>
      <c r="AJ65" s="197"/>
      <c r="AK65" s="197"/>
      <c r="AL65" s="197"/>
      <c r="AM65" s="197"/>
      <c r="AN65" s="197"/>
      <c r="AO65" s="197"/>
    </row>
    <row r="66" spans="1:41" ht="13.5" thickBot="1">
      <c r="A66" s="198"/>
      <c r="B66" s="199"/>
      <c r="C66" s="199">
        <v>-7</v>
      </c>
      <c r="D66" s="199"/>
      <c r="E66" s="199">
        <v>-6</v>
      </c>
      <c r="F66" s="200"/>
      <c r="G66" s="199">
        <v>-5</v>
      </c>
      <c r="H66" s="199"/>
      <c r="I66" s="199">
        <v>-4</v>
      </c>
      <c r="J66" s="199"/>
      <c r="K66" s="199">
        <v>-3</v>
      </c>
      <c r="L66" s="199"/>
      <c r="M66" s="199">
        <v>-2</v>
      </c>
      <c r="N66" s="199"/>
      <c r="O66" s="199">
        <v>-1</v>
      </c>
      <c r="P66" s="199"/>
      <c r="Q66" s="199">
        <v>0</v>
      </c>
      <c r="R66" s="199"/>
      <c r="S66" s="199">
        <v>1</v>
      </c>
      <c r="T66" s="199"/>
      <c r="U66" s="199">
        <v>2</v>
      </c>
      <c r="V66" s="199"/>
      <c r="W66" s="199">
        <v>3</v>
      </c>
      <c r="X66" s="199"/>
      <c r="Y66" s="199">
        <v>4</v>
      </c>
      <c r="Z66" s="199"/>
      <c r="AA66" s="199">
        <v>5</v>
      </c>
      <c r="AB66" s="199"/>
      <c r="AC66" s="199">
        <v>6</v>
      </c>
      <c r="AD66" s="199"/>
      <c r="AE66" s="199">
        <v>7</v>
      </c>
      <c r="AF66" s="199"/>
      <c r="AG66" s="199">
        <v>8</v>
      </c>
      <c r="AH66" s="199"/>
      <c r="AI66" s="199">
        <v>9</v>
      </c>
      <c r="AJ66" s="199"/>
      <c r="AK66" s="199">
        <v>10</v>
      </c>
      <c r="AL66" s="199"/>
      <c r="AM66" s="199">
        <v>11</v>
      </c>
      <c r="AN66" s="199"/>
      <c r="AO66" s="201">
        <v>12</v>
      </c>
    </row>
    <row r="67" spans="1:41" ht="13.5" thickBot="1">
      <c r="A67" s="198">
        <v>1</v>
      </c>
      <c r="B67" s="195" t="s">
        <v>547</v>
      </c>
      <c r="C67" s="243"/>
      <c r="D67" s="244"/>
      <c r="E67" s="245"/>
      <c r="F67" s="244"/>
      <c r="G67" s="245"/>
      <c r="H67" s="246"/>
      <c r="I67" s="262">
        <f aca="true" t="shared" si="22" ref="I67:I92">$Q$83*(10^(LOG10(2)*I3/1200))</f>
        <v>1237</v>
      </c>
      <c r="J67" s="247" t="s">
        <v>569</v>
      </c>
      <c r="K67" s="247">
        <f aca="true" t="shared" si="23" ref="K67:K92">$Q$83*(10^(LOG10(2)*K3/1200))</f>
        <v>1256.0551627458221</v>
      </c>
      <c r="L67" s="247" t="s">
        <v>569</v>
      </c>
      <c r="M67" s="247">
        <f aca="true" t="shared" si="24" ref="M67:M92">$Q$83*(10^(LOG10(2)*M3/1200))</f>
        <v>1275.403857607464</v>
      </c>
      <c r="N67" s="247" t="s">
        <v>569</v>
      </c>
      <c r="O67" s="247">
        <f aca="true" t="shared" si="25" ref="O67:O92">$Q$83*(10^(LOG10(2)*O3/1200))</f>
        <v>1295.0506062520549</v>
      </c>
      <c r="P67" s="247" t="s">
        <v>569</v>
      </c>
      <c r="Q67" s="282">
        <f aca="true" t="shared" si="26" ref="Q67:Q77">$Q$83*(10^(LOG10(2)*Q3/1200))</f>
        <v>1315.0000000000007</v>
      </c>
      <c r="R67" s="246" t="s">
        <v>570</v>
      </c>
      <c r="S67" s="247">
        <f aca="true" t="shared" si="27" ref="S67:S80">$Q$83*(10^(LOG10(2)*S3/1200))</f>
        <v>1333.4736086184384</v>
      </c>
      <c r="T67" s="247" t="s">
        <v>570</v>
      </c>
      <c r="U67" s="247">
        <f aca="true" t="shared" si="28" ref="U67:U92">$Q$83*(10^(LOG10(2)*U3/1200))</f>
        <v>1352.2067413550417</v>
      </c>
      <c r="V67" s="247" t="s">
        <v>570</v>
      </c>
      <c r="W67" s="247">
        <f aca="true" t="shared" si="29" ref="W67:W92">$Q$83*(10^(LOG10(2)*W3/1200))</f>
        <v>1371.2030441010543</v>
      </c>
      <c r="X67" s="247" t="s">
        <v>570</v>
      </c>
      <c r="Y67" s="247">
        <f aca="true" t="shared" si="30" ref="Y67:Y92">$Q$83*(10^(LOG10(2)*Y3/1200))</f>
        <v>1390.466213966555</v>
      </c>
      <c r="Z67" s="247" t="s">
        <v>570</v>
      </c>
      <c r="AA67" s="247">
        <f aca="true" t="shared" si="31" ref="AA67:AA92">$Q$83*(10^(LOG10(2)*AA3/1200))</f>
        <v>1410.0000000000005</v>
      </c>
      <c r="AB67" s="248" t="s">
        <v>570</v>
      </c>
      <c r="AC67" s="269">
        <f aca="true" t="shared" si="32" ref="AC67:AC92">$Q$83*(10^(LOG10(2)*AC3/1200))</f>
        <v>1460</v>
      </c>
      <c r="AD67" s="249"/>
      <c r="AE67" s="245"/>
      <c r="AF67" s="244"/>
      <c r="AG67" s="245"/>
      <c r="AH67" s="244"/>
      <c r="AI67" s="245"/>
      <c r="AJ67" s="244"/>
      <c r="AK67" s="245"/>
      <c r="AL67" s="244"/>
      <c r="AM67" s="245"/>
      <c r="AN67" s="244"/>
      <c r="AO67" s="250"/>
    </row>
    <row r="68" spans="1:41" ht="14.25" thickBot="1" thickTop="1">
      <c r="A68" s="198">
        <v>2</v>
      </c>
      <c r="B68" s="195" t="s">
        <v>537</v>
      </c>
      <c r="C68" s="251"/>
      <c r="D68" s="206"/>
      <c r="E68" s="252"/>
      <c r="F68" s="253"/>
      <c r="G68" s="263">
        <f aca="true" t="shared" si="33" ref="G68:G92">$Q$83*(10^(LOG10(2)*G4/1200))</f>
        <v>1105.0000000000002</v>
      </c>
      <c r="H68" s="253" t="s">
        <v>569</v>
      </c>
      <c r="I68" s="254">
        <f t="shared" si="22"/>
        <v>1118.4676873472656</v>
      </c>
      <c r="J68" s="254" t="s">
        <v>569</v>
      </c>
      <c r="K68" s="254">
        <f t="shared" si="23"/>
        <v>1132.0995182261909</v>
      </c>
      <c r="L68" s="254" t="s">
        <v>569</v>
      </c>
      <c r="M68" s="254">
        <f t="shared" si="24"/>
        <v>1145.897493210318</v>
      </c>
      <c r="N68" s="254" t="s">
        <v>569</v>
      </c>
      <c r="O68" s="254">
        <f t="shared" si="25"/>
        <v>1159.8636372560845</v>
      </c>
      <c r="P68" s="254" t="s">
        <v>569</v>
      </c>
      <c r="Q68" s="281">
        <f t="shared" si="26"/>
        <v>1174.0000000000005</v>
      </c>
      <c r="R68" s="253" t="s">
        <v>570</v>
      </c>
      <c r="S68" s="254">
        <f t="shared" si="27"/>
        <v>1187.7572840144956</v>
      </c>
      <c r="T68" s="254" t="s">
        <v>570</v>
      </c>
      <c r="U68" s="254">
        <f t="shared" si="28"/>
        <v>1201.6757800080843</v>
      </c>
      <c r="V68" s="254" t="s">
        <v>570</v>
      </c>
      <c r="W68" s="254">
        <f t="shared" si="29"/>
        <v>1215.7573771110756</v>
      </c>
      <c r="X68" s="254" t="s">
        <v>570</v>
      </c>
      <c r="Y68" s="275">
        <f t="shared" si="30"/>
        <v>1230.003986591173</v>
      </c>
      <c r="Z68" s="276" t="s">
        <v>570</v>
      </c>
      <c r="AA68" s="277">
        <f t="shared" si="31"/>
        <v>1244.4175421128907</v>
      </c>
      <c r="AB68" s="254" t="s">
        <v>570</v>
      </c>
      <c r="AC68" s="254">
        <f t="shared" si="32"/>
        <v>1259</v>
      </c>
      <c r="AD68" s="255" t="s">
        <v>570</v>
      </c>
      <c r="AE68" s="256">
        <f aca="true" t="shared" si="34" ref="AE68:AE92">$Q$83*(10^(LOG10(2)*AE4/1200))</f>
        <v>1281.302462340567</v>
      </c>
      <c r="AF68" s="238" t="s">
        <v>570</v>
      </c>
      <c r="AG68" s="256">
        <f aca="true" t="shared" si="35" ref="AG68:AG92">$Q$83*(10^(LOG10(2)*AG4/1200))</f>
        <v>1304.0000000000005</v>
      </c>
      <c r="AH68" s="206"/>
      <c r="AI68" s="252"/>
      <c r="AJ68" s="206"/>
      <c r="AK68" s="252"/>
      <c r="AL68" s="206"/>
      <c r="AM68" s="252"/>
      <c r="AN68" s="206"/>
      <c r="AO68" s="257"/>
    </row>
    <row r="69" spans="1:41" ht="14.25" thickBot="1" thickTop="1">
      <c r="A69" s="198">
        <v>3</v>
      </c>
      <c r="B69" s="196" t="s">
        <v>536</v>
      </c>
      <c r="C69" s="251"/>
      <c r="D69" s="206"/>
      <c r="E69" s="252"/>
      <c r="F69" s="253"/>
      <c r="G69" s="266">
        <f t="shared" si="33"/>
        <v>985.5</v>
      </c>
      <c r="H69" s="253" t="s">
        <v>569</v>
      </c>
      <c r="I69" s="254">
        <f t="shared" si="22"/>
        <v>997.6944571243919</v>
      </c>
      <c r="J69" s="254" t="s">
        <v>569</v>
      </c>
      <c r="K69" s="254">
        <f t="shared" si="23"/>
        <v>1010.0398069779152</v>
      </c>
      <c r="L69" s="254" t="s">
        <v>569</v>
      </c>
      <c r="M69" s="254">
        <f t="shared" si="24"/>
        <v>1022.5379166888448</v>
      </c>
      <c r="N69" s="254" t="s">
        <v>569</v>
      </c>
      <c r="O69" s="254">
        <f t="shared" si="25"/>
        <v>1035.1906764890753</v>
      </c>
      <c r="P69" s="254" t="s">
        <v>569</v>
      </c>
      <c r="Q69" s="267">
        <f t="shared" si="26"/>
        <v>1048.0000000000002</v>
      </c>
      <c r="R69" s="253" t="s">
        <v>570</v>
      </c>
      <c r="S69" s="254">
        <f t="shared" si="27"/>
        <v>1060.300063488656</v>
      </c>
      <c r="T69" s="254" t="s">
        <v>570</v>
      </c>
      <c r="U69" s="254">
        <f t="shared" si="28"/>
        <v>1072.7444891546256</v>
      </c>
      <c r="V69" s="254" t="s">
        <v>570</v>
      </c>
      <c r="W69" s="254">
        <f t="shared" si="29"/>
        <v>1085.3349713337357</v>
      </c>
      <c r="X69" s="254" t="s">
        <v>570</v>
      </c>
      <c r="Y69" s="278">
        <f t="shared" si="30"/>
        <v>1098.0732242477277</v>
      </c>
      <c r="Z69" s="279" t="s">
        <v>570</v>
      </c>
      <c r="AA69" s="280">
        <f t="shared" si="31"/>
        <v>1110.960982237651</v>
      </c>
      <c r="AB69" s="254" t="s">
        <v>570</v>
      </c>
      <c r="AC69" s="254">
        <f t="shared" si="32"/>
        <v>1124.0000000000002</v>
      </c>
      <c r="AD69" s="255" t="s">
        <v>570</v>
      </c>
      <c r="AE69" s="256">
        <f t="shared" si="34"/>
        <v>1143.825161464811</v>
      </c>
      <c r="AF69" s="238" t="s">
        <v>570</v>
      </c>
      <c r="AG69" s="256">
        <f t="shared" si="35"/>
        <v>1164.0000000000002</v>
      </c>
      <c r="AH69" s="206"/>
      <c r="AI69" s="252"/>
      <c r="AJ69" s="206"/>
      <c r="AK69" s="252"/>
      <c r="AL69" s="206"/>
      <c r="AM69" s="252"/>
      <c r="AN69" s="206"/>
      <c r="AO69" s="257"/>
    </row>
    <row r="70" spans="1:41" ht="14.25" thickBot="1" thickTop="1">
      <c r="A70" s="198">
        <v>4</v>
      </c>
      <c r="B70" s="205" t="s">
        <v>530</v>
      </c>
      <c r="C70" s="251"/>
      <c r="D70" s="206"/>
      <c r="E70" s="252"/>
      <c r="F70" s="253"/>
      <c r="G70" s="263">
        <f t="shared" si="33"/>
        <v>927.5</v>
      </c>
      <c r="H70" s="253" t="s">
        <v>569</v>
      </c>
      <c r="I70" s="254">
        <f t="shared" si="22"/>
        <v>938.8202754139716</v>
      </c>
      <c r="J70" s="254" t="s">
        <v>569</v>
      </c>
      <c r="K70" s="254">
        <f t="shared" si="23"/>
        <v>950.2787164726311</v>
      </c>
      <c r="L70" s="254" t="s">
        <v>569</v>
      </c>
      <c r="M70" s="254">
        <f t="shared" si="24"/>
        <v>961.8770095082165</v>
      </c>
      <c r="N70" s="254" t="s">
        <v>569</v>
      </c>
      <c r="O70" s="254">
        <f t="shared" si="25"/>
        <v>973.6168614349014</v>
      </c>
      <c r="P70" s="254" t="s">
        <v>569</v>
      </c>
      <c r="Q70" s="222">
        <f t="shared" si="26"/>
        <v>985.5</v>
      </c>
      <c r="R70" s="253" t="s">
        <v>570</v>
      </c>
      <c r="S70" s="254">
        <f t="shared" si="27"/>
        <v>997.228775532894</v>
      </c>
      <c r="T70" s="254" t="s">
        <v>570</v>
      </c>
      <c r="U70" s="254">
        <f t="shared" si="28"/>
        <v>1009.0971392702537</v>
      </c>
      <c r="V70" s="254" t="s">
        <v>570</v>
      </c>
      <c r="W70" s="254">
        <f t="shared" si="29"/>
        <v>1021.1067524994631</v>
      </c>
      <c r="X70" s="254" t="s">
        <v>570</v>
      </c>
      <c r="Y70" s="254">
        <f t="shared" si="30"/>
        <v>1033.2592962794615</v>
      </c>
      <c r="Z70" s="254" t="s">
        <v>570</v>
      </c>
      <c r="AA70" s="274">
        <f t="shared" si="31"/>
        <v>1045.55647167605</v>
      </c>
      <c r="AB70" s="254" t="s">
        <v>570</v>
      </c>
      <c r="AC70" s="254">
        <f t="shared" si="32"/>
        <v>1058.0000000000002</v>
      </c>
      <c r="AD70" s="255" t="s">
        <v>570</v>
      </c>
      <c r="AE70" s="270">
        <f t="shared" si="34"/>
        <v>1076.3410240253784</v>
      </c>
      <c r="AF70" s="238" t="s">
        <v>570</v>
      </c>
      <c r="AG70" s="270">
        <f t="shared" si="35"/>
        <v>1095.0000000000002</v>
      </c>
      <c r="AH70" s="206"/>
      <c r="AI70" s="252"/>
      <c r="AJ70" s="206"/>
      <c r="AK70" s="252"/>
      <c r="AL70" s="206"/>
      <c r="AM70" s="252"/>
      <c r="AN70" s="206"/>
      <c r="AO70" s="257"/>
    </row>
    <row r="71" spans="1:41" ht="12.75">
      <c r="A71" s="198">
        <v>5</v>
      </c>
      <c r="B71" s="195" t="s">
        <v>527</v>
      </c>
      <c r="C71" s="251"/>
      <c r="D71" s="258"/>
      <c r="E71" s="261">
        <f aca="true" t="shared" si="36" ref="E71:E92">$Q$83*(10^(LOG10(2)*E7/1200))</f>
        <v>828.0000000000001</v>
      </c>
      <c r="F71" s="258" t="s">
        <v>569</v>
      </c>
      <c r="G71" s="259">
        <f t="shared" si="33"/>
        <v>836.4482162353078</v>
      </c>
      <c r="H71" s="258" t="s">
        <v>569</v>
      </c>
      <c r="I71" s="259">
        <f t="shared" si="22"/>
        <v>844.982630970082</v>
      </c>
      <c r="J71" s="259" t="s">
        <v>569</v>
      </c>
      <c r="K71" s="259">
        <f t="shared" si="23"/>
        <v>853.6041237013795</v>
      </c>
      <c r="L71" s="259" t="s">
        <v>569</v>
      </c>
      <c r="M71" s="259">
        <f t="shared" si="24"/>
        <v>862.3135828999057</v>
      </c>
      <c r="N71" s="259" t="s">
        <v>569</v>
      </c>
      <c r="O71" s="259">
        <f t="shared" si="25"/>
        <v>871.1119061015736</v>
      </c>
      <c r="P71" s="259" t="s">
        <v>569</v>
      </c>
      <c r="Q71" s="228">
        <f t="shared" si="26"/>
        <v>880.0000000000002</v>
      </c>
      <c r="R71" s="258" t="s">
        <v>570</v>
      </c>
      <c r="S71" s="259">
        <f t="shared" si="27"/>
        <v>888.8700837162221</v>
      </c>
      <c r="T71" s="259" t="s">
        <v>570</v>
      </c>
      <c r="U71" s="259">
        <f t="shared" si="28"/>
        <v>897.8295746882775</v>
      </c>
      <c r="V71" s="259" t="s">
        <v>570</v>
      </c>
      <c r="W71" s="259">
        <f t="shared" si="29"/>
        <v>906.8793741091696</v>
      </c>
      <c r="X71" s="259" t="s">
        <v>570</v>
      </c>
      <c r="Y71" s="259">
        <f t="shared" si="30"/>
        <v>916.0203922556057</v>
      </c>
      <c r="Z71" s="259" t="s">
        <v>570</v>
      </c>
      <c r="AA71" s="261">
        <f t="shared" si="31"/>
        <v>925.2535485795535</v>
      </c>
      <c r="AB71" s="259" t="s">
        <v>570</v>
      </c>
      <c r="AC71" s="259">
        <f t="shared" si="32"/>
        <v>934.5797718007265</v>
      </c>
      <c r="AD71" s="259" t="s">
        <v>570</v>
      </c>
      <c r="AE71" s="259">
        <f t="shared" si="34"/>
        <v>944</v>
      </c>
      <c r="AF71" s="238" t="s">
        <v>570</v>
      </c>
      <c r="AG71" s="260">
        <f t="shared" si="35"/>
        <v>955.0371192501815</v>
      </c>
      <c r="AH71" s="238" t="s">
        <v>570</v>
      </c>
      <c r="AI71" s="260">
        <f aca="true" t="shared" si="37" ref="AI71:AI91">$Q$83*(10^(LOG10(2)*AI7/1200))</f>
        <v>966.203282993311</v>
      </c>
      <c r="AJ71" s="238" t="s">
        <v>570</v>
      </c>
      <c r="AK71" s="260">
        <f aca="true" t="shared" si="38" ref="AK71:AK91">$Q$83*(10^(LOG10(2)*AK7/1200))</f>
        <v>977.5000000000001</v>
      </c>
      <c r="AL71" s="206"/>
      <c r="AM71" s="252"/>
      <c r="AN71" s="206"/>
      <c r="AO71" s="257"/>
    </row>
    <row r="72" spans="1:41" ht="13.5" thickBot="1">
      <c r="A72" s="198">
        <v>6</v>
      </c>
      <c r="B72" s="196" t="s">
        <v>526</v>
      </c>
      <c r="C72" s="251"/>
      <c r="D72" s="258"/>
      <c r="E72" s="261">
        <f t="shared" si="36"/>
        <v>736.5</v>
      </c>
      <c r="F72" s="258" t="s">
        <v>569</v>
      </c>
      <c r="G72" s="259">
        <f t="shared" si="33"/>
        <v>744.5280258896715</v>
      </c>
      <c r="H72" s="258" t="s">
        <v>569</v>
      </c>
      <c r="I72" s="259">
        <f t="shared" si="22"/>
        <v>752.6435591787802</v>
      </c>
      <c r="J72" s="259" t="s">
        <v>569</v>
      </c>
      <c r="K72" s="259">
        <f t="shared" si="23"/>
        <v>760.8475537188774</v>
      </c>
      <c r="L72" s="259" t="s">
        <v>569</v>
      </c>
      <c r="M72" s="259">
        <f t="shared" si="24"/>
        <v>769.1409737587261</v>
      </c>
      <c r="N72" s="259" t="s">
        <v>569</v>
      </c>
      <c r="O72" s="259">
        <f t="shared" si="25"/>
        <v>777.5247940576294</v>
      </c>
      <c r="P72" s="259" t="s">
        <v>569</v>
      </c>
      <c r="Q72" s="228">
        <f t="shared" si="26"/>
        <v>786.0000000000001</v>
      </c>
      <c r="R72" s="258" t="s">
        <v>570</v>
      </c>
      <c r="S72" s="259">
        <f t="shared" si="27"/>
        <v>793.8332988347117</v>
      </c>
      <c r="T72" s="259" t="s">
        <v>570</v>
      </c>
      <c r="U72" s="259">
        <f t="shared" si="28"/>
        <v>801.7446645531815</v>
      </c>
      <c r="V72" s="259" t="s">
        <v>570</v>
      </c>
      <c r="W72" s="259">
        <f t="shared" si="29"/>
        <v>809.7348751722411</v>
      </c>
      <c r="X72" s="259" t="s">
        <v>570</v>
      </c>
      <c r="Y72" s="259">
        <f t="shared" si="30"/>
        <v>817.80471646246</v>
      </c>
      <c r="Z72" s="259" t="s">
        <v>570</v>
      </c>
      <c r="AA72" s="261">
        <f t="shared" si="31"/>
        <v>825.9549820254209</v>
      </c>
      <c r="AB72" s="259" t="s">
        <v>570</v>
      </c>
      <c r="AC72" s="259">
        <f t="shared" si="32"/>
        <v>834.1864733717617</v>
      </c>
      <c r="AD72" s="259" t="s">
        <v>570</v>
      </c>
      <c r="AE72" s="259">
        <f t="shared" si="34"/>
        <v>842.5000000000003</v>
      </c>
      <c r="AF72" s="238" t="s">
        <v>570</v>
      </c>
      <c r="AG72" s="260">
        <f t="shared" si="35"/>
        <v>852.3835993726641</v>
      </c>
      <c r="AH72" s="238" t="s">
        <v>570</v>
      </c>
      <c r="AI72" s="260">
        <f t="shared" si="37"/>
        <v>862.3831459697303</v>
      </c>
      <c r="AJ72" s="238" t="s">
        <v>570</v>
      </c>
      <c r="AK72" s="260">
        <f t="shared" si="38"/>
        <v>872.5000000000003</v>
      </c>
      <c r="AL72" s="206"/>
      <c r="AM72" s="252"/>
      <c r="AN72" s="206"/>
      <c r="AO72" s="257"/>
    </row>
    <row r="73" spans="1:41" ht="14.25" thickBot="1" thickTop="1">
      <c r="A73" s="198">
        <v>7</v>
      </c>
      <c r="B73" s="205" t="s">
        <v>524</v>
      </c>
      <c r="C73" s="251"/>
      <c r="D73" s="258"/>
      <c r="E73" s="264">
        <f t="shared" si="36"/>
        <v>657.5000000000002</v>
      </c>
      <c r="F73" s="258" t="s">
        <v>569</v>
      </c>
      <c r="G73" s="259">
        <f t="shared" si="33"/>
        <v>664.1886780742811</v>
      </c>
      <c r="H73" s="258" t="s">
        <v>569</v>
      </c>
      <c r="I73" s="259">
        <f t="shared" si="22"/>
        <v>670.9453993643511</v>
      </c>
      <c r="J73" s="259" t="s">
        <v>569</v>
      </c>
      <c r="K73" s="259">
        <f t="shared" si="23"/>
        <v>677.7708560666598</v>
      </c>
      <c r="L73" s="259" t="s">
        <v>569</v>
      </c>
      <c r="M73" s="259">
        <f t="shared" si="24"/>
        <v>684.6657474192981</v>
      </c>
      <c r="N73" s="259" t="s">
        <v>569</v>
      </c>
      <c r="O73" s="259">
        <f t="shared" si="25"/>
        <v>691.6307797736321</v>
      </c>
      <c r="P73" s="259" t="s">
        <v>569</v>
      </c>
      <c r="Q73" s="265">
        <f t="shared" si="26"/>
        <v>698.666666666666</v>
      </c>
      <c r="R73" s="258" t="s">
        <v>570</v>
      </c>
      <c r="S73" s="259">
        <f t="shared" si="27"/>
        <v>705.711828854224</v>
      </c>
      <c r="T73" s="259" t="s">
        <v>570</v>
      </c>
      <c r="U73" s="259">
        <f t="shared" si="28"/>
        <v>712.8280325163753</v>
      </c>
      <c r="V73" s="259" t="s">
        <v>570</v>
      </c>
      <c r="W73" s="259">
        <f t="shared" si="29"/>
        <v>720.0159940157778</v>
      </c>
      <c r="X73" s="259" t="s">
        <v>570</v>
      </c>
      <c r="Y73" s="259">
        <f t="shared" si="30"/>
        <v>727.2764369386932</v>
      </c>
      <c r="Z73" s="259" t="s">
        <v>570</v>
      </c>
      <c r="AA73" s="271">
        <f t="shared" si="31"/>
        <v>734.6100921678285</v>
      </c>
      <c r="AB73" s="272" t="s">
        <v>570</v>
      </c>
      <c r="AC73" s="273">
        <f t="shared" si="32"/>
        <v>742.0176979559097</v>
      </c>
      <c r="AD73" s="259" t="s">
        <v>570</v>
      </c>
      <c r="AE73" s="259">
        <f t="shared" si="34"/>
        <v>749.5000000000001</v>
      </c>
      <c r="AF73" s="238" t="s">
        <v>570</v>
      </c>
      <c r="AG73" s="268">
        <f t="shared" si="35"/>
        <v>758.2312248408613</v>
      </c>
      <c r="AH73" s="238" t="s">
        <v>570</v>
      </c>
      <c r="AI73" s="268">
        <f t="shared" si="37"/>
        <v>767.0641632070349</v>
      </c>
      <c r="AJ73" s="238" t="s">
        <v>570</v>
      </c>
      <c r="AK73" s="268">
        <f t="shared" si="38"/>
        <v>776.0000000000002</v>
      </c>
      <c r="AL73" s="206"/>
      <c r="AM73" s="252"/>
      <c r="AN73" s="206"/>
      <c r="AO73" s="257"/>
    </row>
    <row r="74" spans="1:41" ht="12.75">
      <c r="A74" s="198">
        <v>8</v>
      </c>
      <c r="B74" s="202" t="s">
        <v>520</v>
      </c>
      <c r="C74" s="215">
        <f aca="true" t="shared" si="39" ref="C74:C92">$Q$83*(10^(LOG10(2)*C10/1200))</f>
        <v>618.5</v>
      </c>
      <c r="D74" s="206" t="s">
        <v>569</v>
      </c>
      <c r="E74" s="207">
        <f t="shared" si="36"/>
        <v>624</v>
      </c>
      <c r="F74" s="206" t="s">
        <v>569</v>
      </c>
      <c r="G74" s="207">
        <f t="shared" si="33"/>
        <v>629.5000000000001</v>
      </c>
      <c r="H74" s="206" t="s">
        <v>569</v>
      </c>
      <c r="I74" s="207">
        <f t="shared" si="22"/>
        <v>635</v>
      </c>
      <c r="J74" s="207" t="s">
        <v>569</v>
      </c>
      <c r="K74" s="207">
        <f t="shared" si="23"/>
        <v>640.5</v>
      </c>
      <c r="L74" s="207" t="s">
        <v>569</v>
      </c>
      <c r="M74" s="207">
        <f t="shared" si="24"/>
        <v>646.0000000000001</v>
      </c>
      <c r="N74" s="207" t="s">
        <v>569</v>
      </c>
      <c r="O74" s="207">
        <f t="shared" si="25"/>
        <v>652.0000000000001</v>
      </c>
      <c r="P74" s="207" t="s">
        <v>569</v>
      </c>
      <c r="Q74" s="222">
        <f t="shared" si="26"/>
        <v>657.5000000000002</v>
      </c>
      <c r="R74" s="206" t="s">
        <v>570</v>
      </c>
      <c r="S74" s="207">
        <f t="shared" si="27"/>
        <v>663.5</v>
      </c>
      <c r="T74" s="207" t="s">
        <v>570</v>
      </c>
      <c r="U74" s="207">
        <f t="shared" si="28"/>
        <v>669.0000000000001</v>
      </c>
      <c r="V74" s="207" t="s">
        <v>570</v>
      </c>
      <c r="W74" s="207">
        <f t="shared" si="29"/>
        <v>675</v>
      </c>
      <c r="X74" s="207" t="s">
        <v>570</v>
      </c>
      <c r="Y74" s="207">
        <f t="shared" si="30"/>
        <v>681.0000000000001</v>
      </c>
      <c r="Z74" s="207" t="s">
        <v>570</v>
      </c>
      <c r="AA74" s="207">
        <f t="shared" si="31"/>
        <v>687.0000000000003</v>
      </c>
      <c r="AB74" s="207" t="s">
        <v>570</v>
      </c>
      <c r="AC74" s="207">
        <f t="shared" si="32"/>
        <v>693.0000000000001</v>
      </c>
      <c r="AD74" s="207" t="s">
        <v>570</v>
      </c>
      <c r="AE74" s="223">
        <f t="shared" si="34"/>
        <v>698.666666666666</v>
      </c>
      <c r="AF74" s="206" t="s">
        <v>570</v>
      </c>
      <c r="AG74" s="206">
        <f t="shared" si="35"/>
        <v>705.0000000000003</v>
      </c>
      <c r="AH74" s="238" t="s">
        <v>570</v>
      </c>
      <c r="AI74" s="217">
        <f t="shared" si="37"/>
        <v>711</v>
      </c>
      <c r="AJ74" s="238" t="s">
        <v>570</v>
      </c>
      <c r="AK74" s="217">
        <f t="shared" si="38"/>
        <v>717.5</v>
      </c>
      <c r="AL74" s="238" t="s">
        <v>570</v>
      </c>
      <c r="AM74" s="217">
        <f aca="true" t="shared" si="40" ref="AM74:AM91">$Q$83*(10^(LOG10(2)*AM10/1200))</f>
        <v>723.5</v>
      </c>
      <c r="AN74" s="238" t="s">
        <v>570</v>
      </c>
      <c r="AO74" s="218">
        <f aca="true" t="shared" si="41" ref="AO74:AO92">$Q$83*(10^(LOG10(2)*AO10/1200))</f>
        <v>730</v>
      </c>
    </row>
    <row r="75" spans="1:41" ht="12.75">
      <c r="A75" s="198">
        <v>9</v>
      </c>
      <c r="B75" s="202" t="s">
        <v>519</v>
      </c>
      <c r="C75" s="215">
        <f t="shared" si="39"/>
        <v>552.5</v>
      </c>
      <c r="D75" s="206" t="s">
        <v>569</v>
      </c>
      <c r="E75" s="207">
        <f t="shared" si="36"/>
        <v>556.9999999999999</v>
      </c>
      <c r="F75" s="206" t="s">
        <v>569</v>
      </c>
      <c r="G75" s="207">
        <f t="shared" si="33"/>
        <v>562</v>
      </c>
      <c r="H75" s="206" t="s">
        <v>569</v>
      </c>
      <c r="I75" s="207">
        <f t="shared" si="22"/>
        <v>567</v>
      </c>
      <c r="J75" s="207" t="s">
        <v>569</v>
      </c>
      <c r="K75" s="207">
        <f t="shared" si="23"/>
        <v>572</v>
      </c>
      <c r="L75" s="207" t="s">
        <v>569</v>
      </c>
      <c r="M75" s="207">
        <f t="shared" si="24"/>
        <v>577</v>
      </c>
      <c r="N75" s="207" t="s">
        <v>569</v>
      </c>
      <c r="O75" s="207">
        <f t="shared" si="25"/>
        <v>582</v>
      </c>
      <c r="P75" s="207" t="s">
        <v>569</v>
      </c>
      <c r="Q75" s="208">
        <f t="shared" si="26"/>
        <v>587</v>
      </c>
      <c r="R75" s="206" t="s">
        <v>570</v>
      </c>
      <c r="S75" s="207">
        <f t="shared" si="27"/>
        <v>592.0000000000002</v>
      </c>
      <c r="T75" s="207" t="s">
        <v>570</v>
      </c>
      <c r="U75" s="207">
        <f t="shared" si="28"/>
        <v>597.5</v>
      </c>
      <c r="V75" s="207" t="s">
        <v>570</v>
      </c>
      <c r="W75" s="207">
        <f t="shared" si="29"/>
        <v>602.5</v>
      </c>
      <c r="X75" s="207" t="s">
        <v>570</v>
      </c>
      <c r="Y75" s="207">
        <f t="shared" si="30"/>
        <v>608</v>
      </c>
      <c r="Z75" s="207" t="s">
        <v>570</v>
      </c>
      <c r="AA75" s="207">
        <f t="shared" si="31"/>
        <v>613.0000000000001</v>
      </c>
      <c r="AB75" s="207" t="s">
        <v>570</v>
      </c>
      <c r="AC75" s="214">
        <f t="shared" si="32"/>
        <v>618.5</v>
      </c>
      <c r="AD75" s="207" t="s">
        <v>570</v>
      </c>
      <c r="AE75" s="206">
        <f t="shared" si="34"/>
        <v>624</v>
      </c>
      <c r="AF75" s="206" t="s">
        <v>570</v>
      </c>
      <c r="AG75" s="206">
        <f t="shared" si="35"/>
        <v>629.5000000000001</v>
      </c>
      <c r="AH75" s="238" t="s">
        <v>570</v>
      </c>
      <c r="AI75" s="217">
        <f t="shared" si="37"/>
        <v>635</v>
      </c>
      <c r="AJ75" s="238" t="s">
        <v>570</v>
      </c>
      <c r="AK75" s="217">
        <f t="shared" si="38"/>
        <v>640.5</v>
      </c>
      <c r="AL75" s="238" t="s">
        <v>570</v>
      </c>
      <c r="AM75" s="217">
        <f t="shared" si="40"/>
        <v>646.0000000000001</v>
      </c>
      <c r="AN75" s="238" t="s">
        <v>570</v>
      </c>
      <c r="AO75" s="218">
        <f t="shared" si="41"/>
        <v>652.0000000000001</v>
      </c>
    </row>
    <row r="76" spans="1:41" ht="12.75">
      <c r="A76" s="198">
        <v>10</v>
      </c>
      <c r="B76" s="202" t="s">
        <v>518</v>
      </c>
      <c r="C76" s="232">
        <f t="shared" si="39"/>
        <v>492.75000000000006</v>
      </c>
      <c r="D76" s="206" t="s">
        <v>569</v>
      </c>
      <c r="E76" s="207">
        <f t="shared" si="36"/>
        <v>497.25000000000006</v>
      </c>
      <c r="F76" s="206" t="s">
        <v>569</v>
      </c>
      <c r="G76" s="207">
        <f t="shared" si="33"/>
        <v>501.5</v>
      </c>
      <c r="H76" s="206" t="s">
        <v>569</v>
      </c>
      <c r="I76" s="207">
        <f t="shared" si="22"/>
        <v>506</v>
      </c>
      <c r="J76" s="207" t="s">
        <v>569</v>
      </c>
      <c r="K76" s="207">
        <f t="shared" si="23"/>
        <v>510.25000000000006</v>
      </c>
      <c r="L76" s="207" t="s">
        <v>569</v>
      </c>
      <c r="M76" s="207">
        <f t="shared" si="24"/>
        <v>514.7500000000001</v>
      </c>
      <c r="N76" s="207" t="s">
        <v>569</v>
      </c>
      <c r="O76" s="207">
        <f t="shared" si="25"/>
        <v>519.25</v>
      </c>
      <c r="P76" s="207" t="s">
        <v>569</v>
      </c>
      <c r="Q76" s="222">
        <f t="shared" si="26"/>
        <v>524</v>
      </c>
      <c r="R76" s="206" t="s">
        <v>570</v>
      </c>
      <c r="S76" s="207">
        <f t="shared" si="27"/>
        <v>529.0000000000001</v>
      </c>
      <c r="T76" s="207" t="s">
        <v>570</v>
      </c>
      <c r="U76" s="207">
        <f t="shared" si="28"/>
        <v>533.5</v>
      </c>
      <c r="V76" s="207" t="s">
        <v>570</v>
      </c>
      <c r="W76" s="207">
        <f t="shared" si="29"/>
        <v>538</v>
      </c>
      <c r="X76" s="207" t="s">
        <v>570</v>
      </c>
      <c r="Y76" s="207">
        <f t="shared" si="30"/>
        <v>542.5</v>
      </c>
      <c r="Z76" s="207" t="s">
        <v>570</v>
      </c>
      <c r="AA76" s="207">
        <f t="shared" si="31"/>
        <v>547.5</v>
      </c>
      <c r="AB76" s="207" t="s">
        <v>570</v>
      </c>
      <c r="AC76" s="214">
        <f t="shared" si="32"/>
        <v>552.5</v>
      </c>
      <c r="AD76" s="207" t="s">
        <v>570</v>
      </c>
      <c r="AE76" s="206">
        <f t="shared" si="34"/>
        <v>556.9999999999999</v>
      </c>
      <c r="AF76" s="206" t="s">
        <v>570</v>
      </c>
      <c r="AG76" s="206">
        <f t="shared" si="35"/>
        <v>562</v>
      </c>
      <c r="AH76" s="238" t="s">
        <v>570</v>
      </c>
      <c r="AI76" s="217">
        <f t="shared" si="37"/>
        <v>567</v>
      </c>
      <c r="AJ76" s="238" t="s">
        <v>570</v>
      </c>
      <c r="AK76" s="217">
        <f t="shared" si="38"/>
        <v>572</v>
      </c>
      <c r="AL76" s="238" t="s">
        <v>570</v>
      </c>
      <c r="AM76" s="217">
        <f t="shared" si="40"/>
        <v>577</v>
      </c>
      <c r="AN76" s="238" t="s">
        <v>570</v>
      </c>
      <c r="AO76" s="218">
        <f t="shared" si="41"/>
        <v>582</v>
      </c>
    </row>
    <row r="77" spans="1:41" ht="13.5" thickBot="1">
      <c r="A77" s="198">
        <v>11</v>
      </c>
      <c r="B77" s="202" t="s">
        <v>517</v>
      </c>
      <c r="C77" s="215">
        <f t="shared" si="39"/>
        <v>463.75000000000006</v>
      </c>
      <c r="D77" s="206" t="s">
        <v>569</v>
      </c>
      <c r="E77" s="207">
        <f t="shared" si="36"/>
        <v>467.77777777777703</v>
      </c>
      <c r="F77" s="206" t="s">
        <v>569</v>
      </c>
      <c r="G77" s="207">
        <f t="shared" si="33"/>
        <v>472.00000000000006</v>
      </c>
      <c r="H77" s="206" t="s">
        <v>569</v>
      </c>
      <c r="I77" s="207">
        <f t="shared" si="22"/>
        <v>476.00000000000006</v>
      </c>
      <c r="J77" s="207" t="s">
        <v>569</v>
      </c>
      <c r="K77" s="207">
        <f t="shared" si="23"/>
        <v>480.25000000000006</v>
      </c>
      <c r="L77" s="207" t="s">
        <v>569</v>
      </c>
      <c r="M77" s="207">
        <f t="shared" si="24"/>
        <v>484.5</v>
      </c>
      <c r="N77" s="207" t="s">
        <v>569</v>
      </c>
      <c r="O77" s="207">
        <f t="shared" si="25"/>
        <v>488.75000000000006</v>
      </c>
      <c r="P77" s="207" t="s">
        <v>569</v>
      </c>
      <c r="Q77" s="222">
        <f t="shared" si="26"/>
        <v>492.75000000000006</v>
      </c>
      <c r="R77" s="206" t="s">
        <v>570</v>
      </c>
      <c r="S77" s="207">
        <f t="shared" si="27"/>
        <v>497.25000000000006</v>
      </c>
      <c r="T77" s="207" t="s">
        <v>570</v>
      </c>
      <c r="U77" s="207">
        <f t="shared" si="28"/>
        <v>501.5</v>
      </c>
      <c r="V77" s="207" t="s">
        <v>570</v>
      </c>
      <c r="W77" s="207">
        <f t="shared" si="29"/>
        <v>506</v>
      </c>
      <c r="X77" s="207" t="s">
        <v>570</v>
      </c>
      <c r="Y77" s="207">
        <f t="shared" si="30"/>
        <v>510.25000000000006</v>
      </c>
      <c r="Z77" s="207" t="s">
        <v>570</v>
      </c>
      <c r="AA77" s="207">
        <f t="shared" si="31"/>
        <v>514.7500000000001</v>
      </c>
      <c r="AB77" s="207" t="s">
        <v>570</v>
      </c>
      <c r="AC77" s="207">
        <f t="shared" si="32"/>
        <v>519.25</v>
      </c>
      <c r="AD77" s="207" t="s">
        <v>570</v>
      </c>
      <c r="AE77" s="223">
        <f t="shared" si="34"/>
        <v>524</v>
      </c>
      <c r="AF77" s="206" t="s">
        <v>570</v>
      </c>
      <c r="AG77" s="206">
        <f t="shared" si="35"/>
        <v>529.0000000000001</v>
      </c>
      <c r="AH77" s="238" t="s">
        <v>570</v>
      </c>
      <c r="AI77" s="217">
        <f t="shared" si="37"/>
        <v>533.5</v>
      </c>
      <c r="AJ77" s="238" t="s">
        <v>570</v>
      </c>
      <c r="AK77" s="217">
        <f t="shared" si="38"/>
        <v>538</v>
      </c>
      <c r="AL77" s="238" t="s">
        <v>570</v>
      </c>
      <c r="AM77" s="217">
        <f t="shared" si="40"/>
        <v>542.5</v>
      </c>
      <c r="AN77" s="238" t="s">
        <v>570</v>
      </c>
      <c r="AO77" s="218">
        <f t="shared" si="41"/>
        <v>547.5</v>
      </c>
    </row>
    <row r="78" spans="1:41" ht="14.25" thickBot="1" thickTop="1">
      <c r="A78" s="198">
        <v>12</v>
      </c>
      <c r="B78" s="221" t="s">
        <v>499</v>
      </c>
      <c r="C78" s="231">
        <f t="shared" si="39"/>
        <v>414.00000000000006</v>
      </c>
      <c r="D78" s="237" t="s">
        <v>569</v>
      </c>
      <c r="E78" s="234">
        <f t="shared" si="36"/>
        <v>417.75</v>
      </c>
      <c r="F78" s="237" t="s">
        <v>569</v>
      </c>
      <c r="G78" s="234">
        <f t="shared" si="33"/>
        <v>421.25000000000006</v>
      </c>
      <c r="H78" s="237" t="s">
        <v>569</v>
      </c>
      <c r="I78" s="234">
        <f t="shared" si="22"/>
        <v>425</v>
      </c>
      <c r="J78" s="237" t="s">
        <v>569</v>
      </c>
      <c r="K78" s="234">
        <f t="shared" si="23"/>
        <v>428.75000000000006</v>
      </c>
      <c r="L78" s="237" t="s">
        <v>569</v>
      </c>
      <c r="M78" s="234">
        <f t="shared" si="24"/>
        <v>432.5</v>
      </c>
      <c r="N78" s="237" t="s">
        <v>569</v>
      </c>
      <c r="O78" s="234">
        <f t="shared" si="25"/>
        <v>436.25</v>
      </c>
      <c r="P78" s="237" t="s">
        <v>569</v>
      </c>
      <c r="Q78" s="286">
        <f>'79-tone Qanun Layout'!J27</f>
        <v>440</v>
      </c>
      <c r="R78" s="237" t="s">
        <v>570</v>
      </c>
      <c r="S78" s="234">
        <f t="shared" si="27"/>
        <v>444</v>
      </c>
      <c r="T78" s="237" t="s">
        <v>570</v>
      </c>
      <c r="U78" s="234">
        <f t="shared" si="28"/>
        <v>447.75</v>
      </c>
      <c r="V78" s="237" t="s">
        <v>570</v>
      </c>
      <c r="W78" s="234">
        <f t="shared" si="29"/>
        <v>452</v>
      </c>
      <c r="X78" s="237" t="s">
        <v>570</v>
      </c>
      <c r="Y78" s="234">
        <f t="shared" si="30"/>
        <v>456.00000000000006</v>
      </c>
      <c r="Z78" s="237" t="s">
        <v>570</v>
      </c>
      <c r="AA78" s="234">
        <f t="shared" si="31"/>
        <v>459.75</v>
      </c>
      <c r="AB78" s="237" t="s">
        <v>570</v>
      </c>
      <c r="AC78" s="242">
        <f t="shared" si="32"/>
        <v>463.75000000000006</v>
      </c>
      <c r="AD78" s="237" t="s">
        <v>570</v>
      </c>
      <c r="AE78" s="234">
        <f t="shared" si="34"/>
        <v>467.77777777777703</v>
      </c>
      <c r="AF78" s="237" t="s">
        <v>570</v>
      </c>
      <c r="AG78" s="234">
        <f t="shared" si="35"/>
        <v>472.00000000000006</v>
      </c>
      <c r="AH78" s="238" t="s">
        <v>570</v>
      </c>
      <c r="AI78" s="240">
        <f t="shared" si="37"/>
        <v>476.00000000000006</v>
      </c>
      <c r="AJ78" s="238" t="s">
        <v>570</v>
      </c>
      <c r="AK78" s="240">
        <f t="shared" si="38"/>
        <v>480.25000000000006</v>
      </c>
      <c r="AL78" s="238" t="s">
        <v>570</v>
      </c>
      <c r="AM78" s="240">
        <f t="shared" si="40"/>
        <v>484.5</v>
      </c>
      <c r="AN78" s="238" t="s">
        <v>570</v>
      </c>
      <c r="AO78" s="241">
        <f t="shared" si="41"/>
        <v>488.75000000000006</v>
      </c>
    </row>
    <row r="79" spans="1:41" ht="13.5" thickTop="1">
      <c r="A79" s="198">
        <v>13</v>
      </c>
      <c r="B79" s="202" t="s">
        <v>498</v>
      </c>
      <c r="C79" s="229">
        <f t="shared" si="39"/>
        <v>368.25</v>
      </c>
      <c r="D79" s="206" t="s">
        <v>569</v>
      </c>
      <c r="E79" s="207">
        <f t="shared" si="36"/>
        <v>371.25</v>
      </c>
      <c r="F79" s="206" t="s">
        <v>569</v>
      </c>
      <c r="G79" s="207">
        <f t="shared" si="33"/>
        <v>374.75</v>
      </c>
      <c r="H79" s="206" t="s">
        <v>569</v>
      </c>
      <c r="I79" s="207">
        <f t="shared" si="22"/>
        <v>378</v>
      </c>
      <c r="J79" s="207" t="s">
        <v>569</v>
      </c>
      <c r="K79" s="207">
        <f t="shared" si="23"/>
        <v>381.25</v>
      </c>
      <c r="L79" s="207" t="s">
        <v>569</v>
      </c>
      <c r="M79" s="207">
        <f t="shared" si="24"/>
        <v>384.75</v>
      </c>
      <c r="N79" s="207" t="s">
        <v>569</v>
      </c>
      <c r="O79" s="207">
        <f t="shared" si="25"/>
        <v>388</v>
      </c>
      <c r="P79" s="207" t="s">
        <v>569</v>
      </c>
      <c r="Q79" s="208">
        <f>$Q$83*(10^(LOG10(2)*Q15/1200))</f>
        <v>393</v>
      </c>
      <c r="R79" s="206" t="s">
        <v>570</v>
      </c>
      <c r="S79" s="207">
        <f t="shared" si="27"/>
        <v>396.5</v>
      </c>
      <c r="T79" s="207" t="s">
        <v>570</v>
      </c>
      <c r="U79" s="207">
        <f t="shared" si="28"/>
        <v>400</v>
      </c>
      <c r="V79" s="207" t="s">
        <v>570</v>
      </c>
      <c r="W79" s="207">
        <f t="shared" si="29"/>
        <v>403.5</v>
      </c>
      <c r="X79" s="207" t="s">
        <v>570</v>
      </c>
      <c r="Y79" s="207">
        <f t="shared" si="30"/>
        <v>407</v>
      </c>
      <c r="Z79" s="207" t="s">
        <v>570</v>
      </c>
      <c r="AA79" s="207">
        <f t="shared" si="31"/>
        <v>410.5</v>
      </c>
      <c r="AB79" s="207" t="s">
        <v>570</v>
      </c>
      <c r="AC79" s="207">
        <f t="shared" si="32"/>
        <v>414.00000000000006</v>
      </c>
      <c r="AD79" s="207" t="s">
        <v>570</v>
      </c>
      <c r="AE79" s="206">
        <f t="shared" si="34"/>
        <v>417.75</v>
      </c>
      <c r="AF79" s="206" t="s">
        <v>570</v>
      </c>
      <c r="AG79" s="206">
        <f t="shared" si="35"/>
        <v>421.25000000000006</v>
      </c>
      <c r="AH79" s="238" t="s">
        <v>570</v>
      </c>
      <c r="AI79" s="217">
        <f t="shared" si="37"/>
        <v>425</v>
      </c>
      <c r="AJ79" s="238" t="s">
        <v>570</v>
      </c>
      <c r="AK79" s="217">
        <f t="shared" si="38"/>
        <v>428.75000000000006</v>
      </c>
      <c r="AL79" s="238" t="s">
        <v>570</v>
      </c>
      <c r="AM79" s="217">
        <f t="shared" si="40"/>
        <v>432.5</v>
      </c>
      <c r="AN79" s="238" t="s">
        <v>570</v>
      </c>
      <c r="AO79" s="218">
        <f t="shared" si="41"/>
        <v>436.25</v>
      </c>
    </row>
    <row r="80" spans="1:41" ht="12.75">
      <c r="A80" s="198">
        <v>14</v>
      </c>
      <c r="B80" s="202" t="s">
        <v>497</v>
      </c>
      <c r="C80" s="232">
        <f t="shared" si="39"/>
        <v>328.75</v>
      </c>
      <c r="D80" s="206" t="s">
        <v>569</v>
      </c>
      <c r="E80" s="207">
        <f t="shared" si="36"/>
        <v>331.75</v>
      </c>
      <c r="F80" s="206" t="s">
        <v>569</v>
      </c>
      <c r="G80" s="207">
        <f t="shared" si="33"/>
        <v>334.5</v>
      </c>
      <c r="H80" s="206" t="s">
        <v>569</v>
      </c>
      <c r="I80" s="207">
        <f t="shared" si="22"/>
        <v>337.5</v>
      </c>
      <c r="J80" s="207" t="s">
        <v>569</v>
      </c>
      <c r="K80" s="207">
        <f t="shared" si="23"/>
        <v>340.5</v>
      </c>
      <c r="L80" s="207" t="s">
        <v>569</v>
      </c>
      <c r="M80" s="207">
        <f t="shared" si="24"/>
        <v>343.5</v>
      </c>
      <c r="N80" s="207" t="s">
        <v>569</v>
      </c>
      <c r="O80" s="207">
        <f t="shared" si="25"/>
        <v>346.5</v>
      </c>
      <c r="P80" s="207" t="s">
        <v>569</v>
      </c>
      <c r="Q80" s="222">
        <f>$Q$83*(10^(LOG10(2)*Q16/1200))</f>
        <v>349.333333333333</v>
      </c>
      <c r="R80" s="206" t="s">
        <v>570</v>
      </c>
      <c r="S80" s="207">
        <f t="shared" si="27"/>
        <v>352.5</v>
      </c>
      <c r="T80" s="207" t="s">
        <v>570</v>
      </c>
      <c r="U80" s="207">
        <f t="shared" si="28"/>
        <v>355.5</v>
      </c>
      <c r="V80" s="207" t="s">
        <v>570</v>
      </c>
      <c r="W80" s="207">
        <f t="shared" si="29"/>
        <v>358.75</v>
      </c>
      <c r="X80" s="207" t="s">
        <v>570</v>
      </c>
      <c r="Y80" s="207">
        <f t="shared" si="30"/>
        <v>361.75</v>
      </c>
      <c r="Z80" s="207" t="s">
        <v>570</v>
      </c>
      <c r="AA80" s="207">
        <f t="shared" si="31"/>
        <v>365.00000000000006</v>
      </c>
      <c r="AB80" s="207" t="s">
        <v>570</v>
      </c>
      <c r="AC80" s="207">
        <f t="shared" si="32"/>
        <v>368.25</v>
      </c>
      <c r="AD80" s="207" t="s">
        <v>570</v>
      </c>
      <c r="AE80" s="206">
        <f t="shared" si="34"/>
        <v>371.25</v>
      </c>
      <c r="AF80" s="206" t="s">
        <v>570</v>
      </c>
      <c r="AG80" s="206">
        <f t="shared" si="35"/>
        <v>374.75</v>
      </c>
      <c r="AH80" s="238" t="s">
        <v>570</v>
      </c>
      <c r="AI80" s="217">
        <f t="shared" si="37"/>
        <v>378</v>
      </c>
      <c r="AJ80" s="238" t="s">
        <v>570</v>
      </c>
      <c r="AK80" s="217">
        <f t="shared" si="38"/>
        <v>381.25</v>
      </c>
      <c r="AL80" s="238" t="s">
        <v>570</v>
      </c>
      <c r="AM80" s="217">
        <f t="shared" si="40"/>
        <v>384.75</v>
      </c>
      <c r="AN80" s="238" t="s">
        <v>570</v>
      </c>
      <c r="AO80" s="218">
        <f t="shared" si="41"/>
        <v>388</v>
      </c>
    </row>
    <row r="81" spans="1:41" ht="12.75">
      <c r="A81" s="198">
        <v>15</v>
      </c>
      <c r="B81" s="202" t="s">
        <v>495</v>
      </c>
      <c r="C81" s="229">
        <f t="shared" si="39"/>
        <v>309.25</v>
      </c>
      <c r="D81" s="206" t="s">
        <v>569</v>
      </c>
      <c r="E81" s="207">
        <f t="shared" si="36"/>
        <v>312</v>
      </c>
      <c r="F81" s="206" t="s">
        <v>569</v>
      </c>
      <c r="G81" s="207">
        <f t="shared" si="33"/>
        <v>314.75</v>
      </c>
      <c r="H81" s="206" t="s">
        <v>569</v>
      </c>
      <c r="I81" s="207">
        <f t="shared" si="22"/>
        <v>317.5</v>
      </c>
      <c r="J81" s="207" t="s">
        <v>569</v>
      </c>
      <c r="K81" s="207">
        <f t="shared" si="23"/>
        <v>320.25</v>
      </c>
      <c r="L81" s="207" t="s">
        <v>569</v>
      </c>
      <c r="M81" s="207">
        <f t="shared" si="24"/>
        <v>323.00000000000006</v>
      </c>
      <c r="N81" s="207" t="s">
        <v>569</v>
      </c>
      <c r="O81" s="207">
        <f t="shared" si="25"/>
        <v>326</v>
      </c>
      <c r="P81" s="207" t="s">
        <v>569</v>
      </c>
      <c r="Q81" s="222">
        <f>$Q$83*(10^(LOG10(2)*Q17/1200))</f>
        <v>328.75</v>
      </c>
      <c r="R81" s="206" t="s">
        <v>570</v>
      </c>
      <c r="S81" s="207">
        <f>$Q$83*(10^(LOG10(2)*S17/1200))</f>
        <v>331.75</v>
      </c>
      <c r="T81" s="207" t="s">
        <v>570</v>
      </c>
      <c r="U81" s="207">
        <f t="shared" si="28"/>
        <v>334.5</v>
      </c>
      <c r="V81" s="207" t="s">
        <v>570</v>
      </c>
      <c r="W81" s="207">
        <f t="shared" si="29"/>
        <v>337.5</v>
      </c>
      <c r="X81" s="207" t="s">
        <v>570</v>
      </c>
      <c r="Y81" s="207">
        <f t="shared" si="30"/>
        <v>340.5</v>
      </c>
      <c r="Z81" s="207" t="s">
        <v>570</v>
      </c>
      <c r="AA81" s="207">
        <f t="shared" si="31"/>
        <v>343.5</v>
      </c>
      <c r="AB81" s="207" t="s">
        <v>570</v>
      </c>
      <c r="AC81" s="207">
        <f t="shared" si="32"/>
        <v>346.5</v>
      </c>
      <c r="AD81" s="207" t="s">
        <v>570</v>
      </c>
      <c r="AE81" s="223">
        <f t="shared" si="34"/>
        <v>349.333333333333</v>
      </c>
      <c r="AF81" s="206" t="s">
        <v>570</v>
      </c>
      <c r="AG81" s="206">
        <f t="shared" si="35"/>
        <v>352.5</v>
      </c>
      <c r="AH81" s="238" t="s">
        <v>570</v>
      </c>
      <c r="AI81" s="217">
        <f t="shared" si="37"/>
        <v>355.5</v>
      </c>
      <c r="AJ81" s="238" t="s">
        <v>570</v>
      </c>
      <c r="AK81" s="217">
        <f t="shared" si="38"/>
        <v>358.75</v>
      </c>
      <c r="AL81" s="238" t="s">
        <v>570</v>
      </c>
      <c r="AM81" s="217">
        <f t="shared" si="40"/>
        <v>361.75</v>
      </c>
      <c r="AN81" s="238" t="s">
        <v>570</v>
      </c>
      <c r="AO81" s="218">
        <f t="shared" si="41"/>
        <v>365.00000000000006</v>
      </c>
    </row>
    <row r="82" spans="1:41" ht="13.5" thickBot="1">
      <c r="A82" s="198">
        <v>16</v>
      </c>
      <c r="B82" s="202" t="s">
        <v>494</v>
      </c>
      <c r="C82" s="229">
        <f t="shared" si="39"/>
        <v>276.25</v>
      </c>
      <c r="D82" s="206" t="s">
        <v>569</v>
      </c>
      <c r="E82" s="207">
        <f t="shared" si="36"/>
        <v>278.5</v>
      </c>
      <c r="F82" s="206" t="s">
        <v>569</v>
      </c>
      <c r="G82" s="207">
        <f t="shared" si="33"/>
        <v>281</v>
      </c>
      <c r="H82" s="206" t="s">
        <v>569</v>
      </c>
      <c r="I82" s="207">
        <f t="shared" si="22"/>
        <v>283.5</v>
      </c>
      <c r="J82" s="207" t="s">
        <v>569</v>
      </c>
      <c r="K82" s="207">
        <f t="shared" si="23"/>
        <v>286</v>
      </c>
      <c r="L82" s="207" t="s">
        <v>569</v>
      </c>
      <c r="M82" s="207">
        <f t="shared" si="24"/>
        <v>288.5</v>
      </c>
      <c r="N82" s="207" t="s">
        <v>569</v>
      </c>
      <c r="O82" s="207">
        <f t="shared" si="25"/>
        <v>291</v>
      </c>
      <c r="P82" s="207" t="s">
        <v>569</v>
      </c>
      <c r="Q82" s="208">
        <f>$Q$83*(10^(LOG10(2)*Q18/1200))</f>
        <v>293.5</v>
      </c>
      <c r="R82" s="206" t="s">
        <v>570</v>
      </c>
      <c r="S82" s="207">
        <f aca="true" t="shared" si="42" ref="S82:S92">$Q$83*(10^(LOG10(2)*S18/1200))</f>
        <v>296</v>
      </c>
      <c r="T82" s="207" t="s">
        <v>570</v>
      </c>
      <c r="U82" s="207">
        <f t="shared" si="28"/>
        <v>298.75</v>
      </c>
      <c r="V82" s="207" t="s">
        <v>570</v>
      </c>
      <c r="W82" s="207">
        <f t="shared" si="29"/>
        <v>301.25</v>
      </c>
      <c r="X82" s="207" t="s">
        <v>570</v>
      </c>
      <c r="Y82" s="207">
        <f t="shared" si="30"/>
        <v>304</v>
      </c>
      <c r="Z82" s="207" t="s">
        <v>570</v>
      </c>
      <c r="AA82" s="207">
        <f t="shared" si="31"/>
        <v>306.5</v>
      </c>
      <c r="AB82" s="207" t="s">
        <v>570</v>
      </c>
      <c r="AC82" s="207">
        <f t="shared" si="32"/>
        <v>309.25</v>
      </c>
      <c r="AD82" s="207" t="s">
        <v>570</v>
      </c>
      <c r="AE82" s="207">
        <f t="shared" si="34"/>
        <v>312</v>
      </c>
      <c r="AF82" s="206" t="s">
        <v>570</v>
      </c>
      <c r="AG82" s="207">
        <f t="shared" si="35"/>
        <v>314.75</v>
      </c>
      <c r="AH82" s="238" t="s">
        <v>570</v>
      </c>
      <c r="AI82" s="217">
        <f t="shared" si="37"/>
        <v>317.5</v>
      </c>
      <c r="AJ82" s="238" t="s">
        <v>570</v>
      </c>
      <c r="AK82" s="217">
        <f t="shared" si="38"/>
        <v>320.25</v>
      </c>
      <c r="AL82" s="238" t="s">
        <v>570</v>
      </c>
      <c r="AM82" s="217">
        <f t="shared" si="40"/>
        <v>323.00000000000006</v>
      </c>
      <c r="AN82" s="238" t="s">
        <v>570</v>
      </c>
      <c r="AO82" s="218">
        <f t="shared" si="41"/>
        <v>326</v>
      </c>
    </row>
    <row r="83" spans="1:41" ht="14.25" thickBot="1" thickTop="1">
      <c r="A83" s="198">
        <v>17</v>
      </c>
      <c r="B83" s="220" t="s">
        <v>481</v>
      </c>
      <c r="C83" s="233">
        <f t="shared" si="39"/>
        <v>246.375</v>
      </c>
      <c r="D83" s="236" t="s">
        <v>569</v>
      </c>
      <c r="E83" s="209">
        <f t="shared" si="36"/>
        <v>248.625</v>
      </c>
      <c r="F83" s="236" t="s">
        <v>569</v>
      </c>
      <c r="G83" s="209">
        <f t="shared" si="33"/>
        <v>250.75</v>
      </c>
      <c r="H83" s="236" t="s">
        <v>569</v>
      </c>
      <c r="I83" s="209">
        <f t="shared" si="22"/>
        <v>253</v>
      </c>
      <c r="J83" s="236" t="s">
        <v>569</v>
      </c>
      <c r="K83" s="209">
        <f t="shared" si="23"/>
        <v>255.12500000000003</v>
      </c>
      <c r="L83" s="236" t="s">
        <v>569</v>
      </c>
      <c r="M83" s="209">
        <f t="shared" si="24"/>
        <v>257.375</v>
      </c>
      <c r="N83" s="236" t="s">
        <v>569</v>
      </c>
      <c r="O83" s="209">
        <f t="shared" si="25"/>
        <v>259.625</v>
      </c>
      <c r="P83" s="236" t="s">
        <v>569</v>
      </c>
      <c r="Q83" s="225">
        <f>$Q$78/(10^(LOG10(2)*Q14/1200))</f>
        <v>262</v>
      </c>
      <c r="R83" s="236" t="s">
        <v>570</v>
      </c>
      <c r="S83" s="209">
        <f t="shared" si="42"/>
        <v>264.5</v>
      </c>
      <c r="T83" s="236" t="s">
        <v>570</v>
      </c>
      <c r="U83" s="209">
        <f t="shared" si="28"/>
        <v>266.75</v>
      </c>
      <c r="V83" s="236" t="s">
        <v>570</v>
      </c>
      <c r="W83" s="209">
        <f t="shared" si="29"/>
        <v>269</v>
      </c>
      <c r="X83" s="236" t="s">
        <v>570</v>
      </c>
      <c r="Y83" s="209">
        <f t="shared" si="30"/>
        <v>271.25</v>
      </c>
      <c r="Z83" s="236" t="s">
        <v>570</v>
      </c>
      <c r="AA83" s="209">
        <f t="shared" si="31"/>
        <v>273.75</v>
      </c>
      <c r="AB83" s="236" t="s">
        <v>570</v>
      </c>
      <c r="AC83" s="224">
        <f t="shared" si="32"/>
        <v>276.25</v>
      </c>
      <c r="AD83" s="236" t="s">
        <v>570</v>
      </c>
      <c r="AE83" s="209">
        <f t="shared" si="34"/>
        <v>278.5</v>
      </c>
      <c r="AF83" s="236" t="s">
        <v>570</v>
      </c>
      <c r="AG83" s="209">
        <f t="shared" si="35"/>
        <v>281</v>
      </c>
      <c r="AH83" s="238" t="s">
        <v>570</v>
      </c>
      <c r="AI83" s="226">
        <f t="shared" si="37"/>
        <v>283.5</v>
      </c>
      <c r="AJ83" s="238" t="s">
        <v>570</v>
      </c>
      <c r="AK83" s="226">
        <f t="shared" si="38"/>
        <v>286</v>
      </c>
      <c r="AL83" s="238" t="s">
        <v>570</v>
      </c>
      <c r="AM83" s="226">
        <f t="shared" si="40"/>
        <v>288.5</v>
      </c>
      <c r="AN83" s="238" t="s">
        <v>570</v>
      </c>
      <c r="AO83" s="227">
        <f t="shared" si="41"/>
        <v>291</v>
      </c>
    </row>
    <row r="84" spans="1:41" ht="13.5" thickTop="1">
      <c r="A84" s="198">
        <v>18</v>
      </c>
      <c r="B84" s="202" t="s">
        <v>480</v>
      </c>
      <c r="C84" s="229">
        <f t="shared" si="39"/>
        <v>231.875</v>
      </c>
      <c r="D84" s="206" t="s">
        <v>569</v>
      </c>
      <c r="E84" s="207">
        <f t="shared" si="36"/>
        <v>233.88888888888852</v>
      </c>
      <c r="F84" s="206" t="s">
        <v>569</v>
      </c>
      <c r="G84" s="207">
        <f t="shared" si="33"/>
        <v>235.99999999999994</v>
      </c>
      <c r="H84" s="206" t="s">
        <v>569</v>
      </c>
      <c r="I84" s="207">
        <f t="shared" si="22"/>
        <v>238</v>
      </c>
      <c r="J84" s="207" t="s">
        <v>569</v>
      </c>
      <c r="K84" s="207">
        <f t="shared" si="23"/>
        <v>240.12500000000003</v>
      </c>
      <c r="L84" s="207" t="s">
        <v>569</v>
      </c>
      <c r="M84" s="207">
        <f t="shared" si="24"/>
        <v>242.24999999999994</v>
      </c>
      <c r="N84" s="207" t="s">
        <v>569</v>
      </c>
      <c r="O84" s="207">
        <f t="shared" si="25"/>
        <v>244.375</v>
      </c>
      <c r="P84" s="207" t="s">
        <v>569</v>
      </c>
      <c r="Q84" s="222">
        <f aca="true" t="shared" si="43" ref="Q84:Q92">$Q$83*(10^(LOG10(2)*Q20/1200))</f>
        <v>246.375</v>
      </c>
      <c r="R84" s="206" t="s">
        <v>570</v>
      </c>
      <c r="S84" s="207">
        <f t="shared" si="42"/>
        <v>248.625</v>
      </c>
      <c r="T84" s="207" t="s">
        <v>570</v>
      </c>
      <c r="U84" s="207">
        <f t="shared" si="28"/>
        <v>250.75</v>
      </c>
      <c r="V84" s="207" t="s">
        <v>570</v>
      </c>
      <c r="W84" s="207">
        <f t="shared" si="29"/>
        <v>253</v>
      </c>
      <c r="X84" s="207" t="s">
        <v>570</v>
      </c>
      <c r="Y84" s="207">
        <f t="shared" si="30"/>
        <v>255.12500000000003</v>
      </c>
      <c r="Z84" s="207" t="s">
        <v>570</v>
      </c>
      <c r="AA84" s="207">
        <f t="shared" si="31"/>
        <v>257.375</v>
      </c>
      <c r="AB84" s="207" t="s">
        <v>570</v>
      </c>
      <c r="AC84" s="206">
        <f t="shared" si="32"/>
        <v>259.625</v>
      </c>
      <c r="AD84" s="207" t="s">
        <v>570</v>
      </c>
      <c r="AE84" s="223">
        <f t="shared" si="34"/>
        <v>262</v>
      </c>
      <c r="AF84" s="206" t="s">
        <v>570</v>
      </c>
      <c r="AG84" s="206">
        <f t="shared" si="35"/>
        <v>264.5</v>
      </c>
      <c r="AH84" s="238" t="s">
        <v>570</v>
      </c>
      <c r="AI84" s="217">
        <f t="shared" si="37"/>
        <v>266.75</v>
      </c>
      <c r="AJ84" s="238" t="s">
        <v>570</v>
      </c>
      <c r="AK84" s="217">
        <f t="shared" si="38"/>
        <v>269</v>
      </c>
      <c r="AL84" s="238" t="s">
        <v>570</v>
      </c>
      <c r="AM84" s="217">
        <f t="shared" si="40"/>
        <v>271.25</v>
      </c>
      <c r="AN84" s="238" t="s">
        <v>570</v>
      </c>
      <c r="AO84" s="218">
        <f t="shared" si="41"/>
        <v>273.75</v>
      </c>
    </row>
    <row r="85" spans="1:41" ht="12.75">
      <c r="A85" s="198">
        <v>19</v>
      </c>
      <c r="B85" s="202" t="s">
        <v>479</v>
      </c>
      <c r="C85" s="229">
        <f t="shared" si="39"/>
        <v>207.00000000000003</v>
      </c>
      <c r="D85" s="206" t="s">
        <v>569</v>
      </c>
      <c r="E85" s="207">
        <f t="shared" si="36"/>
        <v>208.87499999999997</v>
      </c>
      <c r="F85" s="206" t="s">
        <v>569</v>
      </c>
      <c r="G85" s="207">
        <f t="shared" si="33"/>
        <v>210.62499999999997</v>
      </c>
      <c r="H85" s="206" t="s">
        <v>569</v>
      </c>
      <c r="I85" s="207">
        <f t="shared" si="22"/>
        <v>212.5</v>
      </c>
      <c r="J85" s="207" t="s">
        <v>569</v>
      </c>
      <c r="K85" s="207">
        <f t="shared" si="23"/>
        <v>214.375</v>
      </c>
      <c r="L85" s="207" t="s">
        <v>569</v>
      </c>
      <c r="M85" s="207">
        <f t="shared" si="24"/>
        <v>216.25</v>
      </c>
      <c r="N85" s="207" t="s">
        <v>569</v>
      </c>
      <c r="O85" s="207">
        <f t="shared" si="25"/>
        <v>218.12499999999997</v>
      </c>
      <c r="P85" s="207" t="s">
        <v>569</v>
      </c>
      <c r="Q85" s="208">
        <f t="shared" si="43"/>
        <v>220</v>
      </c>
      <c r="R85" s="206" t="s">
        <v>570</v>
      </c>
      <c r="S85" s="207">
        <f t="shared" si="42"/>
        <v>222.00000000000003</v>
      </c>
      <c r="T85" s="207" t="s">
        <v>570</v>
      </c>
      <c r="U85" s="207">
        <f t="shared" si="28"/>
        <v>223.87499999999997</v>
      </c>
      <c r="V85" s="207" t="s">
        <v>570</v>
      </c>
      <c r="W85" s="207">
        <f t="shared" si="29"/>
        <v>226</v>
      </c>
      <c r="X85" s="207" t="s">
        <v>570</v>
      </c>
      <c r="Y85" s="207">
        <f t="shared" si="30"/>
        <v>228</v>
      </c>
      <c r="Z85" s="207" t="s">
        <v>570</v>
      </c>
      <c r="AA85" s="207">
        <f t="shared" si="31"/>
        <v>229.875</v>
      </c>
      <c r="AB85" s="207" t="s">
        <v>570</v>
      </c>
      <c r="AC85" s="216">
        <f t="shared" si="32"/>
        <v>231.875</v>
      </c>
      <c r="AD85" s="207" t="s">
        <v>570</v>
      </c>
      <c r="AE85" s="206">
        <f t="shared" si="34"/>
        <v>233.88888888888852</v>
      </c>
      <c r="AF85" s="206" t="s">
        <v>570</v>
      </c>
      <c r="AG85" s="206">
        <f t="shared" si="35"/>
        <v>235.99999999999994</v>
      </c>
      <c r="AH85" s="238" t="s">
        <v>570</v>
      </c>
      <c r="AI85" s="217">
        <f t="shared" si="37"/>
        <v>238</v>
      </c>
      <c r="AJ85" s="238" t="s">
        <v>570</v>
      </c>
      <c r="AK85" s="217">
        <f t="shared" si="38"/>
        <v>240.12500000000003</v>
      </c>
      <c r="AL85" s="238" t="s">
        <v>570</v>
      </c>
      <c r="AM85" s="217">
        <f t="shared" si="40"/>
        <v>242.24999999999994</v>
      </c>
      <c r="AN85" s="238" t="s">
        <v>570</v>
      </c>
      <c r="AO85" s="218">
        <f t="shared" si="41"/>
        <v>244.375</v>
      </c>
    </row>
    <row r="86" spans="1:41" ht="12.75">
      <c r="A86" s="198">
        <v>20</v>
      </c>
      <c r="B86" s="202" t="s">
        <v>478</v>
      </c>
      <c r="C86" s="229">
        <f t="shared" si="39"/>
        <v>184.125</v>
      </c>
      <c r="D86" s="206" t="s">
        <v>569</v>
      </c>
      <c r="E86" s="207">
        <f t="shared" si="36"/>
        <v>185.62499999999997</v>
      </c>
      <c r="F86" s="206" t="s">
        <v>569</v>
      </c>
      <c r="G86" s="207">
        <f t="shared" si="33"/>
        <v>187.375</v>
      </c>
      <c r="H86" s="206" t="s">
        <v>569</v>
      </c>
      <c r="I86" s="207">
        <f t="shared" si="22"/>
        <v>189</v>
      </c>
      <c r="J86" s="207" t="s">
        <v>569</v>
      </c>
      <c r="K86" s="207">
        <f t="shared" si="23"/>
        <v>190.625</v>
      </c>
      <c r="L86" s="207" t="s">
        <v>569</v>
      </c>
      <c r="M86" s="207">
        <f t="shared" si="24"/>
        <v>192.37499999999997</v>
      </c>
      <c r="N86" s="207" t="s">
        <v>569</v>
      </c>
      <c r="O86" s="207">
        <f t="shared" si="25"/>
        <v>193.99999999999997</v>
      </c>
      <c r="P86" s="207" t="s">
        <v>569</v>
      </c>
      <c r="Q86" s="208">
        <f t="shared" si="43"/>
        <v>196.49999999999997</v>
      </c>
      <c r="R86" s="206" t="s">
        <v>570</v>
      </c>
      <c r="S86" s="207">
        <f t="shared" si="42"/>
        <v>198.24999999999997</v>
      </c>
      <c r="T86" s="207" t="s">
        <v>570</v>
      </c>
      <c r="U86" s="207">
        <f t="shared" si="28"/>
        <v>199.99999999999997</v>
      </c>
      <c r="V86" s="207" t="s">
        <v>570</v>
      </c>
      <c r="W86" s="207">
        <f t="shared" si="29"/>
        <v>201.75</v>
      </c>
      <c r="X86" s="207" t="s">
        <v>570</v>
      </c>
      <c r="Y86" s="207">
        <f t="shared" si="30"/>
        <v>203.49999999999997</v>
      </c>
      <c r="Z86" s="207" t="s">
        <v>570</v>
      </c>
      <c r="AA86" s="207">
        <f t="shared" si="31"/>
        <v>205.25</v>
      </c>
      <c r="AB86" s="207" t="s">
        <v>570</v>
      </c>
      <c r="AC86" s="216">
        <f t="shared" si="32"/>
        <v>207.00000000000003</v>
      </c>
      <c r="AD86" s="207" t="s">
        <v>570</v>
      </c>
      <c r="AE86" s="206">
        <f t="shared" si="34"/>
        <v>208.87499999999997</v>
      </c>
      <c r="AF86" s="206" t="s">
        <v>570</v>
      </c>
      <c r="AG86" s="206">
        <f t="shared" si="35"/>
        <v>210.62499999999997</v>
      </c>
      <c r="AH86" s="238" t="s">
        <v>570</v>
      </c>
      <c r="AI86" s="217">
        <f t="shared" si="37"/>
        <v>212.5</v>
      </c>
      <c r="AJ86" s="238" t="s">
        <v>570</v>
      </c>
      <c r="AK86" s="217">
        <f t="shared" si="38"/>
        <v>214.375</v>
      </c>
      <c r="AL86" s="238" t="s">
        <v>570</v>
      </c>
      <c r="AM86" s="217">
        <f t="shared" si="40"/>
        <v>216.25</v>
      </c>
      <c r="AN86" s="238" t="s">
        <v>570</v>
      </c>
      <c r="AO86" s="218">
        <f t="shared" si="41"/>
        <v>218.12499999999997</v>
      </c>
    </row>
    <row r="87" spans="1:41" ht="12.75">
      <c r="A87" s="198">
        <v>21</v>
      </c>
      <c r="B87" s="202" t="s">
        <v>476</v>
      </c>
      <c r="C87" s="232">
        <f t="shared" si="39"/>
        <v>164.375</v>
      </c>
      <c r="D87" s="206" t="s">
        <v>569</v>
      </c>
      <c r="E87" s="206">
        <f t="shared" si="36"/>
        <v>165.875</v>
      </c>
      <c r="F87" s="206" t="s">
        <v>569</v>
      </c>
      <c r="G87" s="206">
        <f t="shared" si="33"/>
        <v>167.25</v>
      </c>
      <c r="H87" s="206" t="s">
        <v>569</v>
      </c>
      <c r="I87" s="206">
        <f t="shared" si="22"/>
        <v>168.75</v>
      </c>
      <c r="J87" s="206" t="s">
        <v>569</v>
      </c>
      <c r="K87" s="206">
        <f t="shared" si="23"/>
        <v>170.25</v>
      </c>
      <c r="L87" s="206" t="s">
        <v>569</v>
      </c>
      <c r="M87" s="206">
        <f t="shared" si="24"/>
        <v>171.75</v>
      </c>
      <c r="N87" s="206" t="s">
        <v>569</v>
      </c>
      <c r="O87" s="206">
        <f t="shared" si="25"/>
        <v>173.25</v>
      </c>
      <c r="P87" s="206" t="s">
        <v>569</v>
      </c>
      <c r="Q87" s="222">
        <f t="shared" si="43"/>
        <v>174.66666666666646</v>
      </c>
      <c r="R87" s="206" t="s">
        <v>570</v>
      </c>
      <c r="S87" s="206">
        <f t="shared" si="42"/>
        <v>176.25</v>
      </c>
      <c r="T87" s="206" t="s">
        <v>570</v>
      </c>
      <c r="U87" s="206">
        <f t="shared" si="28"/>
        <v>177.75</v>
      </c>
      <c r="V87" s="206" t="s">
        <v>570</v>
      </c>
      <c r="W87" s="206">
        <f t="shared" si="29"/>
        <v>179.37500000000003</v>
      </c>
      <c r="X87" s="206" t="s">
        <v>570</v>
      </c>
      <c r="Y87" s="206">
        <f t="shared" si="30"/>
        <v>180.875</v>
      </c>
      <c r="Z87" s="206" t="s">
        <v>570</v>
      </c>
      <c r="AA87" s="206">
        <f t="shared" si="31"/>
        <v>182.5</v>
      </c>
      <c r="AB87" s="206" t="s">
        <v>570</v>
      </c>
      <c r="AC87" s="216">
        <f t="shared" si="32"/>
        <v>184.125</v>
      </c>
      <c r="AD87" s="206" t="s">
        <v>570</v>
      </c>
      <c r="AE87" s="206">
        <f t="shared" si="34"/>
        <v>185.62499999999997</v>
      </c>
      <c r="AF87" s="206" t="s">
        <v>570</v>
      </c>
      <c r="AG87" s="206">
        <f t="shared" si="35"/>
        <v>187.375</v>
      </c>
      <c r="AH87" s="238" t="s">
        <v>570</v>
      </c>
      <c r="AI87" s="217">
        <f t="shared" si="37"/>
        <v>189</v>
      </c>
      <c r="AJ87" s="238" t="s">
        <v>570</v>
      </c>
      <c r="AK87" s="217">
        <f t="shared" si="38"/>
        <v>190.625</v>
      </c>
      <c r="AL87" s="238" t="s">
        <v>570</v>
      </c>
      <c r="AM87" s="217">
        <f t="shared" si="40"/>
        <v>192.37499999999997</v>
      </c>
      <c r="AN87" s="238" t="s">
        <v>570</v>
      </c>
      <c r="AO87" s="218">
        <f t="shared" si="41"/>
        <v>193.99999999999997</v>
      </c>
    </row>
    <row r="88" spans="1:41" ht="12.75">
      <c r="A88" s="198">
        <v>22</v>
      </c>
      <c r="B88" s="202" t="s">
        <v>477</v>
      </c>
      <c r="C88" s="229">
        <f t="shared" si="39"/>
        <v>154.62499999999997</v>
      </c>
      <c r="D88" s="206" t="s">
        <v>569</v>
      </c>
      <c r="E88" s="206">
        <f t="shared" si="36"/>
        <v>156.00000000000003</v>
      </c>
      <c r="F88" s="206" t="s">
        <v>569</v>
      </c>
      <c r="G88" s="206">
        <f t="shared" si="33"/>
        <v>157.375</v>
      </c>
      <c r="H88" s="206" t="s">
        <v>569</v>
      </c>
      <c r="I88" s="206">
        <f t="shared" si="22"/>
        <v>158.74999999999997</v>
      </c>
      <c r="J88" s="206" t="s">
        <v>569</v>
      </c>
      <c r="K88" s="206">
        <f t="shared" si="23"/>
        <v>160.12499999999997</v>
      </c>
      <c r="L88" s="206" t="s">
        <v>569</v>
      </c>
      <c r="M88" s="206">
        <f t="shared" si="24"/>
        <v>161.50000000000003</v>
      </c>
      <c r="N88" s="206" t="s">
        <v>569</v>
      </c>
      <c r="O88" s="206">
        <f t="shared" si="25"/>
        <v>163</v>
      </c>
      <c r="P88" s="206" t="s">
        <v>569</v>
      </c>
      <c r="Q88" s="222">
        <f t="shared" si="43"/>
        <v>164.375</v>
      </c>
      <c r="R88" s="206" t="s">
        <v>570</v>
      </c>
      <c r="S88" s="206">
        <f t="shared" si="42"/>
        <v>165.875</v>
      </c>
      <c r="T88" s="206" t="s">
        <v>570</v>
      </c>
      <c r="U88" s="206">
        <f t="shared" si="28"/>
        <v>167.25</v>
      </c>
      <c r="V88" s="206" t="s">
        <v>570</v>
      </c>
      <c r="W88" s="206">
        <f t="shared" si="29"/>
        <v>168.75</v>
      </c>
      <c r="X88" s="206" t="s">
        <v>570</v>
      </c>
      <c r="Y88" s="206">
        <f t="shared" si="30"/>
        <v>170.25</v>
      </c>
      <c r="Z88" s="206" t="s">
        <v>570</v>
      </c>
      <c r="AA88" s="206">
        <f t="shared" si="31"/>
        <v>171.75</v>
      </c>
      <c r="AB88" s="206" t="s">
        <v>570</v>
      </c>
      <c r="AC88" s="206">
        <f t="shared" si="32"/>
        <v>173.25</v>
      </c>
      <c r="AD88" s="206" t="s">
        <v>570</v>
      </c>
      <c r="AE88" s="223">
        <f t="shared" si="34"/>
        <v>174.66666666666646</v>
      </c>
      <c r="AF88" s="206" t="s">
        <v>570</v>
      </c>
      <c r="AG88" s="206">
        <f t="shared" si="35"/>
        <v>176.25</v>
      </c>
      <c r="AH88" s="238" t="s">
        <v>570</v>
      </c>
      <c r="AI88" s="217">
        <f t="shared" si="37"/>
        <v>177.75</v>
      </c>
      <c r="AJ88" s="238" t="s">
        <v>570</v>
      </c>
      <c r="AK88" s="217">
        <f t="shared" si="38"/>
        <v>179.37500000000003</v>
      </c>
      <c r="AL88" s="238" t="s">
        <v>570</v>
      </c>
      <c r="AM88" s="217">
        <f t="shared" si="40"/>
        <v>180.875</v>
      </c>
      <c r="AN88" s="238" t="s">
        <v>570</v>
      </c>
      <c r="AO88" s="218">
        <f t="shared" si="41"/>
        <v>182.5</v>
      </c>
    </row>
    <row r="89" spans="1:41" ht="12.75">
      <c r="A89" s="198">
        <v>23</v>
      </c>
      <c r="B89" s="202" t="s">
        <v>475</v>
      </c>
      <c r="C89" s="229">
        <f t="shared" si="39"/>
        <v>138.12499999999997</v>
      </c>
      <c r="D89" s="206" t="s">
        <v>569</v>
      </c>
      <c r="E89" s="206">
        <f t="shared" si="36"/>
        <v>139.25</v>
      </c>
      <c r="F89" s="206" t="s">
        <v>569</v>
      </c>
      <c r="G89" s="206">
        <f t="shared" si="33"/>
        <v>140.5</v>
      </c>
      <c r="H89" s="206" t="s">
        <v>569</v>
      </c>
      <c r="I89" s="206">
        <f t="shared" si="22"/>
        <v>141.75</v>
      </c>
      <c r="J89" s="206" t="s">
        <v>569</v>
      </c>
      <c r="K89" s="206">
        <f t="shared" si="23"/>
        <v>142.99999999999997</v>
      </c>
      <c r="L89" s="206" t="s">
        <v>569</v>
      </c>
      <c r="M89" s="206">
        <f t="shared" si="24"/>
        <v>144.24999999999997</v>
      </c>
      <c r="N89" s="206" t="s">
        <v>569</v>
      </c>
      <c r="O89" s="206">
        <f t="shared" si="25"/>
        <v>145.5</v>
      </c>
      <c r="P89" s="206" t="s">
        <v>569</v>
      </c>
      <c r="Q89" s="208">
        <f t="shared" si="43"/>
        <v>146.75</v>
      </c>
      <c r="R89" s="206" t="s">
        <v>570</v>
      </c>
      <c r="S89" s="206">
        <f t="shared" si="42"/>
        <v>148</v>
      </c>
      <c r="T89" s="206" t="s">
        <v>570</v>
      </c>
      <c r="U89" s="206">
        <f t="shared" si="28"/>
        <v>149.375</v>
      </c>
      <c r="V89" s="206" t="s">
        <v>570</v>
      </c>
      <c r="W89" s="206">
        <f t="shared" si="29"/>
        <v>150.625</v>
      </c>
      <c r="X89" s="206" t="s">
        <v>570</v>
      </c>
      <c r="Y89" s="206">
        <f t="shared" si="30"/>
        <v>152.00000000000003</v>
      </c>
      <c r="Z89" s="206" t="s">
        <v>570</v>
      </c>
      <c r="AA89" s="206">
        <f t="shared" si="31"/>
        <v>153.25</v>
      </c>
      <c r="AB89" s="206" t="s">
        <v>570</v>
      </c>
      <c r="AC89" s="216">
        <f t="shared" si="32"/>
        <v>154.62499999999997</v>
      </c>
      <c r="AD89" s="206" t="s">
        <v>570</v>
      </c>
      <c r="AE89" s="206">
        <f t="shared" si="34"/>
        <v>156.00000000000003</v>
      </c>
      <c r="AF89" s="206" t="s">
        <v>570</v>
      </c>
      <c r="AG89" s="206">
        <f t="shared" si="35"/>
        <v>157.375</v>
      </c>
      <c r="AH89" s="238" t="s">
        <v>570</v>
      </c>
      <c r="AI89" s="217">
        <f t="shared" si="37"/>
        <v>158.74999999999997</v>
      </c>
      <c r="AJ89" s="238" t="s">
        <v>570</v>
      </c>
      <c r="AK89" s="217">
        <f t="shared" si="38"/>
        <v>160.12499999999997</v>
      </c>
      <c r="AL89" s="238" t="s">
        <v>570</v>
      </c>
      <c r="AM89" s="217">
        <f t="shared" si="40"/>
        <v>161.50000000000003</v>
      </c>
      <c r="AN89" s="238" t="s">
        <v>570</v>
      </c>
      <c r="AO89" s="218">
        <f t="shared" si="41"/>
        <v>163</v>
      </c>
    </row>
    <row r="90" spans="1:41" ht="12.75">
      <c r="A90" s="198">
        <v>24</v>
      </c>
      <c r="B90" s="202" t="s">
        <v>474</v>
      </c>
      <c r="C90" s="232">
        <f t="shared" si="39"/>
        <v>123.18749999999999</v>
      </c>
      <c r="D90" s="206" t="s">
        <v>569</v>
      </c>
      <c r="E90" s="206">
        <f t="shared" si="36"/>
        <v>124.31249999999997</v>
      </c>
      <c r="F90" s="206" t="s">
        <v>569</v>
      </c>
      <c r="G90" s="206">
        <f t="shared" si="33"/>
        <v>125.375</v>
      </c>
      <c r="H90" s="206" t="s">
        <v>569</v>
      </c>
      <c r="I90" s="206">
        <f t="shared" si="22"/>
        <v>126.5</v>
      </c>
      <c r="J90" s="206" t="s">
        <v>569</v>
      </c>
      <c r="K90" s="206">
        <f t="shared" si="23"/>
        <v>127.56250000000001</v>
      </c>
      <c r="L90" s="206" t="s">
        <v>569</v>
      </c>
      <c r="M90" s="206">
        <f t="shared" si="24"/>
        <v>128.6875</v>
      </c>
      <c r="N90" s="206" t="s">
        <v>569</v>
      </c>
      <c r="O90" s="206">
        <f t="shared" si="25"/>
        <v>129.81249999999997</v>
      </c>
      <c r="P90" s="206" t="s">
        <v>569</v>
      </c>
      <c r="Q90" s="222">
        <f t="shared" si="43"/>
        <v>131</v>
      </c>
      <c r="R90" s="206" t="s">
        <v>570</v>
      </c>
      <c r="S90" s="206">
        <f t="shared" si="42"/>
        <v>132.25</v>
      </c>
      <c r="T90" s="206" t="s">
        <v>570</v>
      </c>
      <c r="U90" s="206">
        <f t="shared" si="28"/>
        <v>133.375</v>
      </c>
      <c r="V90" s="206" t="s">
        <v>570</v>
      </c>
      <c r="W90" s="206">
        <f t="shared" si="29"/>
        <v>134.49999999999997</v>
      </c>
      <c r="X90" s="206" t="s">
        <v>570</v>
      </c>
      <c r="Y90" s="206">
        <f t="shared" si="30"/>
        <v>135.625</v>
      </c>
      <c r="Z90" s="206" t="s">
        <v>570</v>
      </c>
      <c r="AA90" s="206">
        <f t="shared" si="31"/>
        <v>136.87499999999997</v>
      </c>
      <c r="AB90" s="206" t="s">
        <v>570</v>
      </c>
      <c r="AC90" s="216">
        <f t="shared" si="32"/>
        <v>138.12499999999997</v>
      </c>
      <c r="AD90" s="206" t="s">
        <v>570</v>
      </c>
      <c r="AE90" s="206">
        <f t="shared" si="34"/>
        <v>139.25</v>
      </c>
      <c r="AF90" s="206" t="s">
        <v>570</v>
      </c>
      <c r="AG90" s="206">
        <f t="shared" si="35"/>
        <v>140.5</v>
      </c>
      <c r="AH90" s="238" t="s">
        <v>570</v>
      </c>
      <c r="AI90" s="217">
        <f t="shared" si="37"/>
        <v>141.75</v>
      </c>
      <c r="AJ90" s="238" t="s">
        <v>570</v>
      </c>
      <c r="AK90" s="217">
        <f t="shared" si="38"/>
        <v>142.99999999999997</v>
      </c>
      <c r="AL90" s="238" t="s">
        <v>570</v>
      </c>
      <c r="AM90" s="217">
        <f t="shared" si="40"/>
        <v>144.24999999999997</v>
      </c>
      <c r="AN90" s="238" t="s">
        <v>570</v>
      </c>
      <c r="AO90" s="218">
        <f t="shared" si="41"/>
        <v>145.5</v>
      </c>
    </row>
    <row r="91" spans="1:41" ht="12.75">
      <c r="A91" s="198">
        <v>25</v>
      </c>
      <c r="B91" s="202" t="s">
        <v>473</v>
      </c>
      <c r="C91" s="229">
        <f t="shared" si="39"/>
        <v>115.9375</v>
      </c>
      <c r="D91" s="206" t="s">
        <v>569</v>
      </c>
      <c r="E91" s="206">
        <f t="shared" si="36"/>
        <v>116.94444444444426</v>
      </c>
      <c r="F91" s="206" t="s">
        <v>569</v>
      </c>
      <c r="G91" s="206">
        <f t="shared" si="33"/>
        <v>117.99999999999996</v>
      </c>
      <c r="H91" s="206" t="s">
        <v>569</v>
      </c>
      <c r="I91" s="206">
        <f t="shared" si="22"/>
        <v>119</v>
      </c>
      <c r="J91" s="206" t="s">
        <v>569</v>
      </c>
      <c r="K91" s="206">
        <f t="shared" si="23"/>
        <v>120.06250000000001</v>
      </c>
      <c r="L91" s="206" t="s">
        <v>569</v>
      </c>
      <c r="M91" s="206">
        <f t="shared" si="24"/>
        <v>121.12499999999997</v>
      </c>
      <c r="N91" s="206" t="s">
        <v>569</v>
      </c>
      <c r="O91" s="206">
        <f t="shared" si="25"/>
        <v>122.18749999999997</v>
      </c>
      <c r="P91" s="206" t="s">
        <v>569</v>
      </c>
      <c r="Q91" s="222">
        <f t="shared" si="43"/>
        <v>123.18749999999999</v>
      </c>
      <c r="R91" s="206" t="s">
        <v>570</v>
      </c>
      <c r="S91" s="206">
        <f t="shared" si="42"/>
        <v>124.31249999999997</v>
      </c>
      <c r="T91" s="206" t="s">
        <v>570</v>
      </c>
      <c r="U91" s="206">
        <f t="shared" si="28"/>
        <v>125.375</v>
      </c>
      <c r="V91" s="206" t="s">
        <v>570</v>
      </c>
      <c r="W91" s="206">
        <f t="shared" si="29"/>
        <v>126.5</v>
      </c>
      <c r="X91" s="206" t="s">
        <v>570</v>
      </c>
      <c r="Y91" s="206">
        <f t="shared" si="30"/>
        <v>127.56250000000001</v>
      </c>
      <c r="Z91" s="206" t="s">
        <v>570</v>
      </c>
      <c r="AA91" s="206">
        <f t="shared" si="31"/>
        <v>128.6875</v>
      </c>
      <c r="AB91" s="206" t="s">
        <v>570</v>
      </c>
      <c r="AC91" s="206">
        <f t="shared" si="32"/>
        <v>129.81249999999997</v>
      </c>
      <c r="AD91" s="206" t="s">
        <v>570</v>
      </c>
      <c r="AE91" s="223">
        <f t="shared" si="34"/>
        <v>131</v>
      </c>
      <c r="AF91" s="206" t="s">
        <v>570</v>
      </c>
      <c r="AG91" s="206">
        <f t="shared" si="35"/>
        <v>132.25</v>
      </c>
      <c r="AH91" s="238" t="s">
        <v>570</v>
      </c>
      <c r="AI91" s="217">
        <f t="shared" si="37"/>
        <v>133.375</v>
      </c>
      <c r="AJ91" s="238" t="s">
        <v>570</v>
      </c>
      <c r="AK91" s="217">
        <f t="shared" si="38"/>
        <v>134.49999999999997</v>
      </c>
      <c r="AL91" s="238" t="s">
        <v>570</v>
      </c>
      <c r="AM91" s="217">
        <f t="shared" si="40"/>
        <v>135.625</v>
      </c>
      <c r="AN91" s="238" t="s">
        <v>570</v>
      </c>
      <c r="AO91" s="218">
        <f t="shared" si="41"/>
        <v>136.87499999999997</v>
      </c>
    </row>
    <row r="92" spans="1:41" ht="13.5" thickBot="1">
      <c r="A92" s="203">
        <v>26</v>
      </c>
      <c r="B92" s="204" t="s">
        <v>472</v>
      </c>
      <c r="C92" s="213">
        <f t="shared" si="39"/>
        <v>103.49999999999999</v>
      </c>
      <c r="D92" s="210" t="s">
        <v>569</v>
      </c>
      <c r="E92" s="210">
        <f t="shared" si="36"/>
        <v>104.43749999999999</v>
      </c>
      <c r="F92" s="210" t="s">
        <v>569</v>
      </c>
      <c r="G92" s="210">
        <f t="shared" si="33"/>
        <v>105.31249999999999</v>
      </c>
      <c r="H92" s="210" t="s">
        <v>569</v>
      </c>
      <c r="I92" s="210">
        <f t="shared" si="22"/>
        <v>106.24999999999999</v>
      </c>
      <c r="J92" s="210" t="s">
        <v>569</v>
      </c>
      <c r="K92" s="210">
        <f t="shared" si="23"/>
        <v>107.18749999999999</v>
      </c>
      <c r="L92" s="210" t="s">
        <v>569</v>
      </c>
      <c r="M92" s="210">
        <f t="shared" si="24"/>
        <v>108.12500000000001</v>
      </c>
      <c r="N92" s="210" t="s">
        <v>569</v>
      </c>
      <c r="O92" s="210">
        <f t="shared" si="25"/>
        <v>109.06249999999999</v>
      </c>
      <c r="P92" s="210" t="s">
        <v>569</v>
      </c>
      <c r="Q92" s="211">
        <f t="shared" si="43"/>
        <v>110</v>
      </c>
      <c r="R92" s="210" t="s">
        <v>570</v>
      </c>
      <c r="S92" s="210">
        <f t="shared" si="42"/>
        <v>110.99999999999999</v>
      </c>
      <c r="T92" s="210" t="s">
        <v>570</v>
      </c>
      <c r="U92" s="210">
        <f t="shared" si="28"/>
        <v>111.93749999999999</v>
      </c>
      <c r="V92" s="210" t="s">
        <v>570</v>
      </c>
      <c r="W92" s="210">
        <f t="shared" si="29"/>
        <v>113</v>
      </c>
      <c r="X92" s="210" t="s">
        <v>570</v>
      </c>
      <c r="Y92" s="210">
        <f t="shared" si="30"/>
        <v>114</v>
      </c>
      <c r="Z92" s="210" t="s">
        <v>570</v>
      </c>
      <c r="AA92" s="210">
        <f t="shared" si="31"/>
        <v>114.93749999999997</v>
      </c>
      <c r="AB92" s="210" t="s">
        <v>570</v>
      </c>
      <c r="AC92" s="230">
        <f t="shared" si="32"/>
        <v>115.9375</v>
      </c>
      <c r="AD92" s="210" t="s">
        <v>570</v>
      </c>
      <c r="AE92" s="210">
        <f t="shared" si="34"/>
        <v>116.94444444444426</v>
      </c>
      <c r="AF92" s="210" t="s">
        <v>570</v>
      </c>
      <c r="AG92" s="210">
        <f t="shared" si="35"/>
        <v>117.99999999999996</v>
      </c>
      <c r="AH92" s="210"/>
      <c r="AI92" s="212"/>
      <c r="AJ92" s="210"/>
      <c r="AK92" s="212"/>
      <c r="AL92" s="210"/>
      <c r="AM92" s="212"/>
      <c r="AN92" s="239" t="s">
        <v>570</v>
      </c>
      <c r="AO92" s="219">
        <f t="shared" si="41"/>
        <v>122.18749999999997</v>
      </c>
    </row>
    <row r="93" ht="12.75"/>
    <row r="94" ht="12.75"/>
    <row r="95" ht="12.75"/>
    <row r="96" ht="12.75"/>
    <row r="97" spans="1:41" ht="20.25">
      <c r="A97" s="197"/>
      <c r="B97" s="197"/>
      <c r="C97" s="197"/>
      <c r="D97" s="197"/>
      <c r="E97" s="197"/>
      <c r="F97" s="197"/>
      <c r="G97" s="197"/>
      <c r="H97" s="197"/>
      <c r="I97" s="409" t="s">
        <v>573</v>
      </c>
      <c r="J97" s="409"/>
      <c r="K97" s="409"/>
      <c r="L97" s="409"/>
      <c r="M97" s="409"/>
      <c r="N97" s="409"/>
      <c r="O97" s="409"/>
      <c r="P97" s="409"/>
      <c r="Q97" s="409"/>
      <c r="R97" s="409"/>
      <c r="S97" s="409"/>
      <c r="T97" s="409"/>
      <c r="U97" s="409"/>
      <c r="V97" s="409"/>
      <c r="W97" s="409"/>
      <c r="X97" s="409"/>
      <c r="Y97" s="409"/>
      <c r="Z97" s="197"/>
      <c r="AA97" s="197"/>
      <c r="AB97" s="197"/>
      <c r="AC97" s="197"/>
      <c r="AD97" s="197"/>
      <c r="AE97" s="197"/>
      <c r="AF97" s="197"/>
      <c r="AG97" s="197"/>
      <c r="AH97" s="197"/>
      <c r="AI97" s="197"/>
      <c r="AJ97" s="197"/>
      <c r="AK97" s="197"/>
      <c r="AL97" s="197"/>
      <c r="AM97" s="197"/>
      <c r="AN97" s="197"/>
      <c r="AO97" s="197"/>
    </row>
    <row r="98" spans="1:41" ht="13.5" thickBot="1">
      <c r="A98" s="198"/>
      <c r="B98" s="199"/>
      <c r="C98" s="199">
        <v>-7</v>
      </c>
      <c r="D98" s="199"/>
      <c r="E98" s="199">
        <v>-6</v>
      </c>
      <c r="F98" s="200"/>
      <c r="G98" s="199">
        <v>-5</v>
      </c>
      <c r="H98" s="199"/>
      <c r="I98" s="199">
        <v>-4</v>
      </c>
      <c r="J98" s="199"/>
      <c r="K98" s="199">
        <v>-3</v>
      </c>
      <c r="L98" s="199"/>
      <c r="M98" s="199">
        <v>-2</v>
      </c>
      <c r="N98" s="199"/>
      <c r="O98" s="199">
        <v>-1</v>
      </c>
      <c r="P98" s="199"/>
      <c r="Q98" s="199">
        <v>0</v>
      </c>
      <c r="R98" s="199"/>
      <c r="S98" s="199">
        <v>1</v>
      </c>
      <c r="T98" s="199"/>
      <c r="U98" s="199">
        <v>2</v>
      </c>
      <c r="V98" s="199"/>
      <c r="W98" s="199">
        <v>3</v>
      </c>
      <c r="X98" s="199"/>
      <c r="Y98" s="199">
        <v>4</v>
      </c>
      <c r="Z98" s="199"/>
      <c r="AA98" s="199">
        <v>5</v>
      </c>
      <c r="AB98" s="199"/>
      <c r="AC98" s="199">
        <v>6</v>
      </c>
      <c r="AD98" s="199"/>
      <c r="AE98" s="199">
        <v>7</v>
      </c>
      <c r="AF98" s="199"/>
      <c r="AG98" s="199">
        <v>8</v>
      </c>
      <c r="AH98" s="199"/>
      <c r="AI98" s="199">
        <v>9</v>
      </c>
      <c r="AJ98" s="199"/>
      <c r="AK98" s="199">
        <v>10</v>
      </c>
      <c r="AL98" s="199"/>
      <c r="AM98" s="199">
        <v>11</v>
      </c>
      <c r="AN98" s="199"/>
      <c r="AO98" s="201">
        <v>12</v>
      </c>
    </row>
    <row r="99" spans="1:41" ht="13.5" thickBot="1">
      <c r="A99" s="198">
        <v>1</v>
      </c>
      <c r="B99" s="195" t="s">
        <v>547</v>
      </c>
      <c r="C99" s="243"/>
      <c r="D99" s="244"/>
      <c r="E99" s="245"/>
      <c r="F99" s="244"/>
      <c r="G99" s="245"/>
      <c r="H99" s="246"/>
      <c r="I99" s="262">
        <f aca="true" t="shared" si="44" ref="I99:I124">I67/$Q$83</f>
        <v>4.721374045801527</v>
      </c>
      <c r="J99" s="247" t="s">
        <v>569</v>
      </c>
      <c r="K99" s="247">
        <f aca="true" t="shared" si="45" ref="K99:K124">K67/$Q$83</f>
        <v>4.794103674602375</v>
      </c>
      <c r="L99" s="247" t="s">
        <v>569</v>
      </c>
      <c r="M99" s="247">
        <f aca="true" t="shared" si="46" ref="M99:M124">M67/$Q$83</f>
        <v>4.867953654990321</v>
      </c>
      <c r="N99" s="247" t="s">
        <v>569</v>
      </c>
      <c r="O99" s="247">
        <f aca="true" t="shared" si="47" ref="O99:O124">O67/$Q$83</f>
        <v>4.942941245236851</v>
      </c>
      <c r="P99" s="247" t="s">
        <v>569</v>
      </c>
      <c r="Q99" s="282">
        <f aca="true" t="shared" si="48" ref="Q99:Q113">Q67/$Q$83</f>
        <v>5.019083969465651</v>
      </c>
      <c r="R99" s="246" t="s">
        <v>570</v>
      </c>
      <c r="S99" s="247">
        <f aca="true" t="shared" si="49" ref="S99:S124">S67/$Q$83</f>
        <v>5.089593926024574</v>
      </c>
      <c r="T99" s="247" t="s">
        <v>570</v>
      </c>
      <c r="U99" s="247">
        <f aca="true" t="shared" si="50" ref="U99:U124">U67/$Q$83</f>
        <v>5.161094432652831</v>
      </c>
      <c r="V99" s="247" t="s">
        <v>570</v>
      </c>
      <c r="W99" s="247">
        <f aca="true" t="shared" si="51" ref="W99:W124">W67/$Q$83</f>
        <v>5.233599404965856</v>
      </c>
      <c r="X99" s="247" t="s">
        <v>570</v>
      </c>
      <c r="Y99" s="247">
        <f aca="true" t="shared" si="52" ref="Y99:Y124">Y67/$Q$83</f>
        <v>5.30712295407082</v>
      </c>
      <c r="Z99" s="247" t="s">
        <v>570</v>
      </c>
      <c r="AA99" s="247">
        <f aca="true" t="shared" si="53" ref="AA99:AA124">AA67/$Q$83</f>
        <v>5.381679389312978</v>
      </c>
      <c r="AB99" s="248" t="s">
        <v>570</v>
      </c>
      <c r="AC99" s="269">
        <f aca="true" t="shared" si="54" ref="AC99:AC124">AC67/$Q$83</f>
        <v>5.572519083969466</v>
      </c>
      <c r="AD99" s="249"/>
      <c r="AE99" s="245"/>
      <c r="AF99" s="244"/>
      <c r="AG99" s="245"/>
      <c r="AH99" s="244"/>
      <c r="AI99" s="245"/>
      <c r="AJ99" s="244"/>
      <c r="AK99" s="245"/>
      <c r="AL99" s="244"/>
      <c r="AM99" s="245"/>
      <c r="AN99" s="244"/>
      <c r="AO99" s="250"/>
    </row>
    <row r="100" spans="1:41" ht="14.25" thickBot="1" thickTop="1">
      <c r="A100" s="198">
        <v>2</v>
      </c>
      <c r="B100" s="195" t="s">
        <v>537</v>
      </c>
      <c r="C100" s="251"/>
      <c r="D100" s="206"/>
      <c r="E100" s="252"/>
      <c r="F100" s="253"/>
      <c r="G100" s="263">
        <f aca="true" t="shared" si="55" ref="G100:G124">G68/$Q$83</f>
        <v>4.2175572519083975</v>
      </c>
      <c r="H100" s="253" t="s">
        <v>569</v>
      </c>
      <c r="I100" s="254">
        <f t="shared" si="44"/>
        <v>4.268960638730022</v>
      </c>
      <c r="J100" s="254" t="s">
        <v>569</v>
      </c>
      <c r="K100" s="254">
        <f t="shared" si="45"/>
        <v>4.320990527580881</v>
      </c>
      <c r="L100" s="254" t="s">
        <v>569</v>
      </c>
      <c r="M100" s="254">
        <f t="shared" si="46"/>
        <v>4.373654554237855</v>
      </c>
      <c r="N100" s="254" t="s">
        <v>569</v>
      </c>
      <c r="O100" s="254">
        <f t="shared" si="47"/>
        <v>4.426960447542307</v>
      </c>
      <c r="P100" s="254" t="s">
        <v>569</v>
      </c>
      <c r="Q100" s="281">
        <f t="shared" si="48"/>
        <v>4.4809160305343525</v>
      </c>
      <c r="R100" s="253" t="s">
        <v>570</v>
      </c>
      <c r="S100" s="254">
        <f t="shared" si="49"/>
        <v>4.533424748146929</v>
      </c>
      <c r="T100" s="254" t="s">
        <v>570</v>
      </c>
      <c r="U100" s="254">
        <f t="shared" si="50"/>
        <v>4.586548778656811</v>
      </c>
      <c r="V100" s="254" t="s">
        <v>570</v>
      </c>
      <c r="W100" s="254">
        <f t="shared" si="51"/>
        <v>4.640295332485021</v>
      </c>
      <c r="X100" s="254" t="s">
        <v>570</v>
      </c>
      <c r="Y100" s="275">
        <f t="shared" si="52"/>
        <v>4.6946717045464625</v>
      </c>
      <c r="Z100" s="276" t="s">
        <v>570</v>
      </c>
      <c r="AA100" s="277">
        <f t="shared" si="53"/>
        <v>4.749685275240041</v>
      </c>
      <c r="AB100" s="254" t="s">
        <v>570</v>
      </c>
      <c r="AC100" s="254">
        <f t="shared" si="54"/>
        <v>4.805343511450381</v>
      </c>
      <c r="AD100" s="255" t="s">
        <v>570</v>
      </c>
      <c r="AE100" s="256">
        <f aca="true" t="shared" si="56" ref="AE100:AE124">AE68/$Q$83</f>
        <v>4.890467413513615</v>
      </c>
      <c r="AF100" s="238" t="s">
        <v>570</v>
      </c>
      <c r="AG100" s="256">
        <f aca="true" t="shared" si="57" ref="AG100:AG124">AG68/$Q$83</f>
        <v>4.977099236641223</v>
      </c>
      <c r="AH100" s="206"/>
      <c r="AI100" s="252"/>
      <c r="AJ100" s="206"/>
      <c r="AK100" s="252"/>
      <c r="AL100" s="206"/>
      <c r="AM100" s="252"/>
      <c r="AN100" s="206"/>
      <c r="AO100" s="257"/>
    </row>
    <row r="101" spans="1:41" ht="14.25" thickBot="1" thickTop="1">
      <c r="A101" s="198">
        <v>3</v>
      </c>
      <c r="B101" s="196" t="s">
        <v>536</v>
      </c>
      <c r="C101" s="251"/>
      <c r="D101" s="206"/>
      <c r="E101" s="252"/>
      <c r="F101" s="253"/>
      <c r="G101" s="266">
        <f t="shared" si="55"/>
        <v>3.7614503816793894</v>
      </c>
      <c r="H101" s="253" t="s">
        <v>569</v>
      </c>
      <c r="I101" s="254">
        <f t="shared" si="44"/>
        <v>3.807994111161801</v>
      </c>
      <c r="J101" s="254" t="s">
        <v>569</v>
      </c>
      <c r="K101" s="254">
        <f t="shared" si="45"/>
        <v>3.855113767091279</v>
      </c>
      <c r="L101" s="254" t="s">
        <v>569</v>
      </c>
      <c r="M101" s="254">
        <f t="shared" si="46"/>
        <v>3.9028164759116213</v>
      </c>
      <c r="N101" s="254" t="s">
        <v>569</v>
      </c>
      <c r="O101" s="254">
        <f t="shared" si="47"/>
        <v>3.951109452248379</v>
      </c>
      <c r="P101" s="254" t="s">
        <v>569</v>
      </c>
      <c r="Q101" s="267">
        <f t="shared" si="48"/>
        <v>4.000000000000001</v>
      </c>
      <c r="R101" s="253" t="s">
        <v>570</v>
      </c>
      <c r="S101" s="254">
        <f t="shared" si="49"/>
        <v>4.04694680720861</v>
      </c>
      <c r="T101" s="254" t="s">
        <v>570</v>
      </c>
      <c r="U101" s="254">
        <f t="shared" si="50"/>
        <v>4.094444615093991</v>
      </c>
      <c r="V101" s="254" t="s">
        <v>570</v>
      </c>
      <c r="W101" s="254">
        <f t="shared" si="51"/>
        <v>4.142499890586778</v>
      </c>
      <c r="X101" s="254" t="s">
        <v>570</v>
      </c>
      <c r="Y101" s="278">
        <f t="shared" si="52"/>
        <v>4.191119176518044</v>
      </c>
      <c r="Z101" s="279" t="s">
        <v>570</v>
      </c>
      <c r="AA101" s="280">
        <f t="shared" si="53"/>
        <v>4.240309092510119</v>
      </c>
      <c r="AB101" s="254" t="s">
        <v>570</v>
      </c>
      <c r="AC101" s="254">
        <f t="shared" si="54"/>
        <v>4.290076335877863</v>
      </c>
      <c r="AD101" s="255" t="s">
        <v>570</v>
      </c>
      <c r="AE101" s="256">
        <f t="shared" si="56"/>
        <v>4.365744891087065</v>
      </c>
      <c r="AF101" s="238" t="s">
        <v>570</v>
      </c>
      <c r="AG101" s="256">
        <f t="shared" si="57"/>
        <v>4.442748091603054</v>
      </c>
      <c r="AH101" s="206"/>
      <c r="AI101" s="252"/>
      <c r="AJ101" s="206"/>
      <c r="AK101" s="252"/>
      <c r="AL101" s="206"/>
      <c r="AM101" s="252"/>
      <c r="AN101" s="206"/>
      <c r="AO101" s="257"/>
    </row>
    <row r="102" spans="1:41" ht="14.25" thickBot="1" thickTop="1">
      <c r="A102" s="198">
        <v>4</v>
      </c>
      <c r="B102" s="205" t="s">
        <v>530</v>
      </c>
      <c r="C102" s="251"/>
      <c r="D102" s="206"/>
      <c r="E102" s="252"/>
      <c r="F102" s="253"/>
      <c r="G102" s="263">
        <f t="shared" si="55"/>
        <v>3.5400763358778624</v>
      </c>
      <c r="H102" s="253" t="s">
        <v>569</v>
      </c>
      <c r="I102" s="254">
        <f t="shared" si="44"/>
        <v>3.5832834939464564</v>
      </c>
      <c r="J102" s="254" t="s">
        <v>569</v>
      </c>
      <c r="K102" s="254">
        <f t="shared" si="45"/>
        <v>3.6270180018039357</v>
      </c>
      <c r="L102" s="254" t="s">
        <v>569</v>
      </c>
      <c r="M102" s="254">
        <f t="shared" si="46"/>
        <v>3.6712862958328873</v>
      </c>
      <c r="N102" s="254" t="s">
        <v>569</v>
      </c>
      <c r="O102" s="254">
        <f t="shared" si="47"/>
        <v>3.716094890972906</v>
      </c>
      <c r="P102" s="254" t="s">
        <v>569</v>
      </c>
      <c r="Q102" s="222">
        <f t="shared" si="48"/>
        <v>3.7614503816793894</v>
      </c>
      <c r="R102" s="253" t="s">
        <v>570</v>
      </c>
      <c r="S102" s="254">
        <f t="shared" si="49"/>
        <v>3.806216700507229</v>
      </c>
      <c r="T102" s="254" t="s">
        <v>570</v>
      </c>
      <c r="U102" s="254">
        <f t="shared" si="50"/>
        <v>3.8515157987414264</v>
      </c>
      <c r="V102" s="254" t="s">
        <v>570</v>
      </c>
      <c r="W102" s="254">
        <f t="shared" si="51"/>
        <v>3.8973540171735235</v>
      </c>
      <c r="X102" s="254" t="s">
        <v>570</v>
      </c>
      <c r="Y102" s="254">
        <f t="shared" si="52"/>
        <v>3.9437377720590137</v>
      </c>
      <c r="Z102" s="254" t="s">
        <v>570</v>
      </c>
      <c r="AA102" s="274">
        <f t="shared" si="53"/>
        <v>3.9906735560154583</v>
      </c>
      <c r="AB102" s="254" t="s">
        <v>570</v>
      </c>
      <c r="AC102" s="254">
        <f t="shared" si="54"/>
        <v>4.0381679389312986</v>
      </c>
      <c r="AD102" s="255" t="s">
        <v>570</v>
      </c>
      <c r="AE102" s="270">
        <f t="shared" si="56"/>
        <v>4.108171847425108</v>
      </c>
      <c r="AF102" s="238" t="s">
        <v>570</v>
      </c>
      <c r="AG102" s="270">
        <f t="shared" si="57"/>
        <v>4.1793893129771</v>
      </c>
      <c r="AH102" s="206"/>
      <c r="AI102" s="252"/>
      <c r="AJ102" s="206"/>
      <c r="AK102" s="252"/>
      <c r="AL102" s="206"/>
      <c r="AM102" s="252"/>
      <c r="AN102" s="206"/>
      <c r="AO102" s="257"/>
    </row>
    <row r="103" spans="1:41" ht="12.75">
      <c r="A103" s="198">
        <v>5</v>
      </c>
      <c r="B103" s="195" t="s">
        <v>527</v>
      </c>
      <c r="C103" s="251"/>
      <c r="D103" s="258"/>
      <c r="E103" s="261">
        <f aca="true" t="shared" si="58" ref="E103:E124">E71/$Q$83</f>
        <v>3.160305343511451</v>
      </c>
      <c r="F103" s="258" t="s">
        <v>569</v>
      </c>
      <c r="G103" s="259">
        <f t="shared" si="55"/>
        <v>3.192550443646213</v>
      </c>
      <c r="H103" s="258" t="s">
        <v>569</v>
      </c>
      <c r="I103" s="259">
        <f t="shared" si="44"/>
        <v>3.225124545687336</v>
      </c>
      <c r="J103" s="259" t="s">
        <v>569</v>
      </c>
      <c r="K103" s="259">
        <f t="shared" si="45"/>
        <v>3.258031006493815</v>
      </c>
      <c r="L103" s="259" t="s">
        <v>569</v>
      </c>
      <c r="M103" s="259">
        <f t="shared" si="46"/>
        <v>3.2912732171752124</v>
      </c>
      <c r="N103" s="259" t="s">
        <v>569</v>
      </c>
      <c r="O103" s="259">
        <f t="shared" si="47"/>
        <v>3.3248546034411204</v>
      </c>
      <c r="P103" s="259" t="s">
        <v>569</v>
      </c>
      <c r="Q103" s="228">
        <f t="shared" si="48"/>
        <v>3.358778625954199</v>
      </c>
      <c r="R103" s="258" t="s">
        <v>570</v>
      </c>
      <c r="S103" s="259">
        <f t="shared" si="49"/>
        <v>3.392633907313825</v>
      </c>
      <c r="T103" s="259" t="s">
        <v>570</v>
      </c>
      <c r="U103" s="259">
        <f t="shared" si="50"/>
        <v>3.426830437741517</v>
      </c>
      <c r="V103" s="259" t="s">
        <v>570</v>
      </c>
      <c r="W103" s="259">
        <f t="shared" si="51"/>
        <v>3.4613716569052273</v>
      </c>
      <c r="X103" s="259" t="s">
        <v>570</v>
      </c>
      <c r="Y103" s="259">
        <f t="shared" si="52"/>
        <v>3.496261039143533</v>
      </c>
      <c r="Z103" s="259" t="s">
        <v>570</v>
      </c>
      <c r="AA103" s="261">
        <f t="shared" si="53"/>
        <v>3.5315020938150896</v>
      </c>
      <c r="AB103" s="259" t="s">
        <v>570</v>
      </c>
      <c r="AC103" s="259">
        <f t="shared" si="54"/>
        <v>3.5670983656516277</v>
      </c>
      <c r="AD103" s="259" t="s">
        <v>570</v>
      </c>
      <c r="AE103" s="259">
        <f t="shared" si="56"/>
        <v>3.6030534351145036</v>
      </c>
      <c r="AF103" s="238" t="s">
        <v>570</v>
      </c>
      <c r="AG103" s="260">
        <f t="shared" si="57"/>
        <v>3.6451798444663415</v>
      </c>
      <c r="AH103" s="238" t="s">
        <v>570</v>
      </c>
      <c r="AI103" s="260">
        <f aca="true" t="shared" si="59" ref="AI103:AI123">AI71/$Q$83</f>
        <v>3.687798790050805</v>
      </c>
      <c r="AJ103" s="238" t="s">
        <v>570</v>
      </c>
      <c r="AK103" s="260">
        <f aca="true" t="shared" si="60" ref="AK103:AK123">AK71/$Q$83</f>
        <v>3.7309160305343516</v>
      </c>
      <c r="AL103" s="206"/>
      <c r="AM103" s="252"/>
      <c r="AN103" s="206"/>
      <c r="AO103" s="257"/>
    </row>
    <row r="104" spans="1:41" ht="13.5" thickBot="1">
      <c r="A104" s="198">
        <v>6</v>
      </c>
      <c r="B104" s="196" t="s">
        <v>526</v>
      </c>
      <c r="C104" s="251"/>
      <c r="D104" s="258"/>
      <c r="E104" s="261">
        <f t="shared" si="58"/>
        <v>2.8110687022900764</v>
      </c>
      <c r="F104" s="258" t="s">
        <v>569</v>
      </c>
      <c r="G104" s="259">
        <f t="shared" si="55"/>
        <v>2.8417100224796625</v>
      </c>
      <c r="H104" s="258" t="s">
        <v>569</v>
      </c>
      <c r="I104" s="259">
        <f t="shared" si="44"/>
        <v>2.8726853403770236</v>
      </c>
      <c r="J104" s="259" t="s">
        <v>569</v>
      </c>
      <c r="K104" s="259">
        <f t="shared" si="45"/>
        <v>2.903998296636937</v>
      </c>
      <c r="L104" s="259" t="s">
        <v>569</v>
      </c>
      <c r="M104" s="259">
        <f t="shared" si="46"/>
        <v>2.935652571598191</v>
      </c>
      <c r="N104" s="259" t="s">
        <v>569</v>
      </c>
      <c r="O104" s="259">
        <f t="shared" si="47"/>
        <v>2.9676518857161427</v>
      </c>
      <c r="P104" s="259" t="s">
        <v>569</v>
      </c>
      <c r="Q104" s="228">
        <f t="shared" si="48"/>
        <v>3.0000000000000004</v>
      </c>
      <c r="R104" s="258" t="s">
        <v>570</v>
      </c>
      <c r="S104" s="259">
        <f t="shared" si="49"/>
        <v>3.0298980871553884</v>
      </c>
      <c r="T104" s="259" t="s">
        <v>570</v>
      </c>
      <c r="U104" s="259">
        <f t="shared" si="50"/>
        <v>3.0600941395159595</v>
      </c>
      <c r="V104" s="259" t="s">
        <v>570</v>
      </c>
      <c r="W104" s="259">
        <f t="shared" si="51"/>
        <v>3.0905911266116073</v>
      </c>
      <c r="X104" s="259" t="s">
        <v>570</v>
      </c>
      <c r="Y104" s="259">
        <f t="shared" si="52"/>
        <v>3.121392047566641</v>
      </c>
      <c r="Z104" s="259" t="s">
        <v>570</v>
      </c>
      <c r="AA104" s="261">
        <f t="shared" si="53"/>
        <v>3.152499931394736</v>
      </c>
      <c r="AB104" s="259" t="s">
        <v>570</v>
      </c>
      <c r="AC104" s="259">
        <f t="shared" si="54"/>
        <v>3.1839178372968004</v>
      </c>
      <c r="AD104" s="259" t="s">
        <v>570</v>
      </c>
      <c r="AE104" s="259">
        <f t="shared" si="56"/>
        <v>3.215648854961833</v>
      </c>
      <c r="AF104" s="238" t="s">
        <v>570</v>
      </c>
      <c r="AG104" s="260">
        <f t="shared" si="57"/>
        <v>3.2533725166895575</v>
      </c>
      <c r="AH104" s="238" t="s">
        <v>570</v>
      </c>
      <c r="AI104" s="260">
        <f t="shared" si="59"/>
        <v>3.2915387250753065</v>
      </c>
      <c r="AJ104" s="238" t="s">
        <v>570</v>
      </c>
      <c r="AK104" s="260">
        <f t="shared" si="60"/>
        <v>3.3301526717557266</v>
      </c>
      <c r="AL104" s="206"/>
      <c r="AM104" s="252"/>
      <c r="AN104" s="206"/>
      <c r="AO104" s="257"/>
    </row>
    <row r="105" spans="1:41" ht="14.25" thickBot="1" thickTop="1">
      <c r="A105" s="198">
        <v>7</v>
      </c>
      <c r="B105" s="205" t="s">
        <v>524</v>
      </c>
      <c r="C105" s="251"/>
      <c r="D105" s="258"/>
      <c r="E105" s="264">
        <f t="shared" si="58"/>
        <v>2.509541984732825</v>
      </c>
      <c r="F105" s="258" t="s">
        <v>569</v>
      </c>
      <c r="G105" s="259">
        <f t="shared" si="55"/>
        <v>2.5350712903598516</v>
      </c>
      <c r="H105" s="258" t="s">
        <v>569</v>
      </c>
      <c r="I105" s="259">
        <f t="shared" si="44"/>
        <v>2.5608603029173707</v>
      </c>
      <c r="J105" s="259" t="s">
        <v>569</v>
      </c>
      <c r="K105" s="259">
        <f t="shared" si="45"/>
        <v>2.586911664376564</v>
      </c>
      <c r="L105" s="259" t="s">
        <v>569</v>
      </c>
      <c r="M105" s="259">
        <f t="shared" si="46"/>
        <v>2.6132280435851074</v>
      </c>
      <c r="N105" s="259" t="s">
        <v>569</v>
      </c>
      <c r="O105" s="259">
        <f t="shared" si="47"/>
        <v>2.6398121365405802</v>
      </c>
      <c r="P105" s="259" t="s">
        <v>569</v>
      </c>
      <c r="Q105" s="265">
        <f t="shared" si="48"/>
        <v>2.666666666666664</v>
      </c>
      <c r="R105" s="258" t="s">
        <v>570</v>
      </c>
      <c r="S105" s="259">
        <f t="shared" si="49"/>
        <v>2.693556598680244</v>
      </c>
      <c r="T105" s="259" t="s">
        <v>570</v>
      </c>
      <c r="U105" s="259">
        <f t="shared" si="50"/>
        <v>2.720717681360211</v>
      </c>
      <c r="V105" s="259" t="s">
        <v>570</v>
      </c>
      <c r="W105" s="259">
        <f t="shared" si="51"/>
        <v>2.748152648915182</v>
      </c>
      <c r="X105" s="259" t="s">
        <v>570</v>
      </c>
      <c r="Y105" s="259">
        <f t="shared" si="52"/>
        <v>2.775864263124783</v>
      </c>
      <c r="Z105" s="259" t="s">
        <v>570</v>
      </c>
      <c r="AA105" s="271">
        <f t="shared" si="53"/>
        <v>2.803855313617666</v>
      </c>
      <c r="AB105" s="272" t="s">
        <v>570</v>
      </c>
      <c r="AC105" s="273">
        <f t="shared" si="54"/>
        <v>2.832128618152327</v>
      </c>
      <c r="AD105" s="259" t="s">
        <v>570</v>
      </c>
      <c r="AE105" s="259">
        <f t="shared" si="56"/>
        <v>2.860687022900764</v>
      </c>
      <c r="AF105" s="238" t="s">
        <v>570</v>
      </c>
      <c r="AG105" s="268">
        <f t="shared" si="57"/>
        <v>2.8940123085529055</v>
      </c>
      <c r="AH105" s="238" t="s">
        <v>570</v>
      </c>
      <c r="AI105" s="268">
        <f t="shared" si="59"/>
        <v>2.927725813767309</v>
      </c>
      <c r="AJ105" s="238" t="s">
        <v>570</v>
      </c>
      <c r="AK105" s="268">
        <f t="shared" si="60"/>
        <v>2.9618320610687032</v>
      </c>
      <c r="AL105" s="206"/>
      <c r="AM105" s="252"/>
      <c r="AN105" s="206"/>
      <c r="AO105" s="257"/>
    </row>
    <row r="106" spans="1:41" ht="12.75">
      <c r="A106" s="198">
        <v>8</v>
      </c>
      <c r="B106" s="202" t="s">
        <v>520</v>
      </c>
      <c r="C106" s="215">
        <f aca="true" t="shared" si="61" ref="C106:C124">C74/$Q$83</f>
        <v>2.3606870229007635</v>
      </c>
      <c r="D106" s="206" t="s">
        <v>569</v>
      </c>
      <c r="E106" s="207">
        <f t="shared" si="58"/>
        <v>2.381679389312977</v>
      </c>
      <c r="F106" s="206" t="s">
        <v>569</v>
      </c>
      <c r="G106" s="207">
        <f t="shared" si="55"/>
        <v>2.402671755725191</v>
      </c>
      <c r="H106" s="206" t="s">
        <v>569</v>
      </c>
      <c r="I106" s="207">
        <f t="shared" si="44"/>
        <v>2.4236641221374047</v>
      </c>
      <c r="J106" s="207" t="s">
        <v>569</v>
      </c>
      <c r="K106" s="207">
        <f t="shared" si="45"/>
        <v>2.4446564885496183</v>
      </c>
      <c r="L106" s="207" t="s">
        <v>569</v>
      </c>
      <c r="M106" s="207">
        <f t="shared" si="46"/>
        <v>2.4656488549618323</v>
      </c>
      <c r="N106" s="207" t="s">
        <v>569</v>
      </c>
      <c r="O106" s="207">
        <f t="shared" si="47"/>
        <v>2.488549618320611</v>
      </c>
      <c r="P106" s="207" t="s">
        <v>569</v>
      </c>
      <c r="Q106" s="222">
        <f t="shared" si="48"/>
        <v>2.509541984732825</v>
      </c>
      <c r="R106" s="206" t="s">
        <v>570</v>
      </c>
      <c r="S106" s="207">
        <f t="shared" si="49"/>
        <v>2.532442748091603</v>
      </c>
      <c r="T106" s="207" t="s">
        <v>570</v>
      </c>
      <c r="U106" s="207">
        <f t="shared" si="50"/>
        <v>2.5534351145038174</v>
      </c>
      <c r="V106" s="207" t="s">
        <v>570</v>
      </c>
      <c r="W106" s="207">
        <f t="shared" si="51"/>
        <v>2.5763358778625953</v>
      </c>
      <c r="X106" s="207" t="s">
        <v>570</v>
      </c>
      <c r="Y106" s="207">
        <f t="shared" si="52"/>
        <v>2.5992366412213745</v>
      </c>
      <c r="Z106" s="207" t="s">
        <v>570</v>
      </c>
      <c r="AA106" s="207">
        <f t="shared" si="53"/>
        <v>2.6221374045801538</v>
      </c>
      <c r="AB106" s="207" t="s">
        <v>570</v>
      </c>
      <c r="AC106" s="207">
        <f t="shared" si="54"/>
        <v>2.6450381679389317</v>
      </c>
      <c r="AD106" s="207" t="s">
        <v>570</v>
      </c>
      <c r="AE106" s="223">
        <f t="shared" si="56"/>
        <v>2.666666666666664</v>
      </c>
      <c r="AF106" s="206" t="s">
        <v>570</v>
      </c>
      <c r="AG106" s="206">
        <f t="shared" si="57"/>
        <v>2.6908396946564896</v>
      </c>
      <c r="AH106" s="238" t="s">
        <v>570</v>
      </c>
      <c r="AI106" s="217">
        <f t="shared" si="59"/>
        <v>2.713740458015267</v>
      </c>
      <c r="AJ106" s="238" t="s">
        <v>570</v>
      </c>
      <c r="AK106" s="217">
        <f t="shared" si="60"/>
        <v>2.7385496183206106</v>
      </c>
      <c r="AL106" s="238" t="s">
        <v>570</v>
      </c>
      <c r="AM106" s="217">
        <f aca="true" t="shared" si="62" ref="AM106:AM123">AM74/$Q$83</f>
        <v>2.7614503816793894</v>
      </c>
      <c r="AN106" s="238" t="s">
        <v>570</v>
      </c>
      <c r="AO106" s="218">
        <f aca="true" t="shared" si="63" ref="AO106:AO124">AO74/$Q$83</f>
        <v>2.786259541984733</v>
      </c>
    </row>
    <row r="107" spans="1:41" ht="12.75">
      <c r="A107" s="198">
        <v>9</v>
      </c>
      <c r="B107" s="202" t="s">
        <v>519</v>
      </c>
      <c r="C107" s="215">
        <f t="shared" si="61"/>
        <v>2.1087786259541983</v>
      </c>
      <c r="D107" s="206" t="s">
        <v>569</v>
      </c>
      <c r="E107" s="207">
        <f t="shared" si="58"/>
        <v>2.125954198473282</v>
      </c>
      <c r="F107" s="206" t="s">
        <v>569</v>
      </c>
      <c r="G107" s="207">
        <f t="shared" si="55"/>
        <v>2.145038167938931</v>
      </c>
      <c r="H107" s="206" t="s">
        <v>569</v>
      </c>
      <c r="I107" s="207">
        <f t="shared" si="44"/>
        <v>2.16412213740458</v>
      </c>
      <c r="J107" s="207" t="s">
        <v>569</v>
      </c>
      <c r="K107" s="207">
        <f t="shared" si="45"/>
        <v>2.183206106870229</v>
      </c>
      <c r="L107" s="207" t="s">
        <v>569</v>
      </c>
      <c r="M107" s="207">
        <f t="shared" si="46"/>
        <v>2.2022900763358777</v>
      </c>
      <c r="N107" s="207" t="s">
        <v>569</v>
      </c>
      <c r="O107" s="207">
        <f t="shared" si="47"/>
        <v>2.2213740458015265</v>
      </c>
      <c r="P107" s="207" t="s">
        <v>569</v>
      </c>
      <c r="Q107" s="208">
        <f t="shared" si="48"/>
        <v>2.2404580152671754</v>
      </c>
      <c r="R107" s="206" t="s">
        <v>570</v>
      </c>
      <c r="S107" s="207">
        <f t="shared" si="49"/>
        <v>2.259541984732825</v>
      </c>
      <c r="T107" s="207" t="s">
        <v>570</v>
      </c>
      <c r="U107" s="207">
        <f t="shared" si="50"/>
        <v>2.280534351145038</v>
      </c>
      <c r="V107" s="207" t="s">
        <v>570</v>
      </c>
      <c r="W107" s="207">
        <f t="shared" si="51"/>
        <v>2.299618320610687</v>
      </c>
      <c r="X107" s="207" t="s">
        <v>570</v>
      </c>
      <c r="Y107" s="207">
        <f t="shared" si="52"/>
        <v>2.3206106870229006</v>
      </c>
      <c r="Z107" s="207" t="s">
        <v>570</v>
      </c>
      <c r="AA107" s="207">
        <f t="shared" si="53"/>
        <v>2.33969465648855</v>
      </c>
      <c r="AB107" s="207" t="s">
        <v>570</v>
      </c>
      <c r="AC107" s="214">
        <f t="shared" si="54"/>
        <v>2.3606870229007635</v>
      </c>
      <c r="AD107" s="207" t="s">
        <v>570</v>
      </c>
      <c r="AE107" s="206">
        <f t="shared" si="56"/>
        <v>2.381679389312977</v>
      </c>
      <c r="AF107" s="206" t="s">
        <v>570</v>
      </c>
      <c r="AG107" s="206">
        <f t="shared" si="57"/>
        <v>2.402671755725191</v>
      </c>
      <c r="AH107" s="238" t="s">
        <v>570</v>
      </c>
      <c r="AI107" s="217">
        <f t="shared" si="59"/>
        <v>2.4236641221374047</v>
      </c>
      <c r="AJ107" s="238" t="s">
        <v>570</v>
      </c>
      <c r="AK107" s="217">
        <f t="shared" si="60"/>
        <v>2.4446564885496183</v>
      </c>
      <c r="AL107" s="238" t="s">
        <v>570</v>
      </c>
      <c r="AM107" s="217">
        <f t="shared" si="62"/>
        <v>2.4656488549618323</v>
      </c>
      <c r="AN107" s="238" t="s">
        <v>570</v>
      </c>
      <c r="AO107" s="218">
        <f t="shared" si="63"/>
        <v>2.488549618320611</v>
      </c>
    </row>
    <row r="108" spans="1:41" ht="12.75">
      <c r="A108" s="198">
        <v>10</v>
      </c>
      <c r="B108" s="202" t="s">
        <v>518</v>
      </c>
      <c r="C108" s="232">
        <f t="shared" si="61"/>
        <v>1.880725190839695</v>
      </c>
      <c r="D108" s="206" t="s">
        <v>569</v>
      </c>
      <c r="E108" s="207">
        <f t="shared" si="58"/>
        <v>1.8979007633587788</v>
      </c>
      <c r="F108" s="206" t="s">
        <v>569</v>
      </c>
      <c r="G108" s="207">
        <f t="shared" si="55"/>
        <v>1.9141221374045803</v>
      </c>
      <c r="H108" s="206" t="s">
        <v>569</v>
      </c>
      <c r="I108" s="207">
        <f t="shared" si="44"/>
        <v>1.9312977099236641</v>
      </c>
      <c r="J108" s="207" t="s">
        <v>569</v>
      </c>
      <c r="K108" s="207">
        <f t="shared" si="45"/>
        <v>1.9475190839694658</v>
      </c>
      <c r="L108" s="207" t="s">
        <v>569</v>
      </c>
      <c r="M108" s="207">
        <f t="shared" si="46"/>
        <v>1.9646946564885501</v>
      </c>
      <c r="N108" s="207" t="s">
        <v>569</v>
      </c>
      <c r="O108" s="207">
        <f t="shared" si="47"/>
        <v>1.9818702290076335</v>
      </c>
      <c r="P108" s="207" t="s">
        <v>569</v>
      </c>
      <c r="Q108" s="222">
        <f t="shared" si="48"/>
        <v>2</v>
      </c>
      <c r="R108" s="206" t="s">
        <v>570</v>
      </c>
      <c r="S108" s="207">
        <f t="shared" si="49"/>
        <v>2.0190839694656493</v>
      </c>
      <c r="T108" s="207" t="s">
        <v>570</v>
      </c>
      <c r="U108" s="207">
        <f t="shared" si="50"/>
        <v>2.036259541984733</v>
      </c>
      <c r="V108" s="207" t="s">
        <v>570</v>
      </c>
      <c r="W108" s="207">
        <f t="shared" si="51"/>
        <v>2.053435114503817</v>
      </c>
      <c r="X108" s="207" t="s">
        <v>570</v>
      </c>
      <c r="Y108" s="207">
        <f t="shared" si="52"/>
        <v>2.0706106870229006</v>
      </c>
      <c r="Z108" s="207" t="s">
        <v>570</v>
      </c>
      <c r="AA108" s="207">
        <f t="shared" si="53"/>
        <v>2.0896946564885495</v>
      </c>
      <c r="AB108" s="207" t="s">
        <v>570</v>
      </c>
      <c r="AC108" s="214">
        <f t="shared" si="54"/>
        <v>2.1087786259541983</v>
      </c>
      <c r="AD108" s="207" t="s">
        <v>570</v>
      </c>
      <c r="AE108" s="206">
        <f t="shared" si="56"/>
        <v>2.125954198473282</v>
      </c>
      <c r="AF108" s="206" t="s">
        <v>570</v>
      </c>
      <c r="AG108" s="206">
        <f t="shared" si="57"/>
        <v>2.145038167938931</v>
      </c>
      <c r="AH108" s="238" t="s">
        <v>570</v>
      </c>
      <c r="AI108" s="217">
        <f t="shared" si="59"/>
        <v>2.16412213740458</v>
      </c>
      <c r="AJ108" s="238" t="s">
        <v>570</v>
      </c>
      <c r="AK108" s="217">
        <f t="shared" si="60"/>
        <v>2.183206106870229</v>
      </c>
      <c r="AL108" s="238" t="s">
        <v>570</v>
      </c>
      <c r="AM108" s="217">
        <f t="shared" si="62"/>
        <v>2.2022900763358777</v>
      </c>
      <c r="AN108" s="238" t="s">
        <v>570</v>
      </c>
      <c r="AO108" s="218">
        <f t="shared" si="63"/>
        <v>2.2213740458015265</v>
      </c>
    </row>
    <row r="109" spans="1:41" ht="13.5" thickBot="1">
      <c r="A109" s="198">
        <v>11</v>
      </c>
      <c r="B109" s="202" t="s">
        <v>517</v>
      </c>
      <c r="C109" s="215">
        <f t="shared" si="61"/>
        <v>1.7700381679389314</v>
      </c>
      <c r="D109" s="206" t="s">
        <v>569</v>
      </c>
      <c r="E109" s="207">
        <f t="shared" si="58"/>
        <v>1.7854113655640345</v>
      </c>
      <c r="F109" s="206" t="s">
        <v>569</v>
      </c>
      <c r="G109" s="207">
        <f t="shared" si="55"/>
        <v>1.801526717557252</v>
      </c>
      <c r="H109" s="206" t="s">
        <v>569</v>
      </c>
      <c r="I109" s="207">
        <f t="shared" si="44"/>
        <v>1.8167938931297711</v>
      </c>
      <c r="J109" s="207" t="s">
        <v>569</v>
      </c>
      <c r="K109" s="207">
        <f t="shared" si="45"/>
        <v>1.8330152671755728</v>
      </c>
      <c r="L109" s="207" t="s">
        <v>569</v>
      </c>
      <c r="M109" s="207">
        <f t="shared" si="46"/>
        <v>1.849236641221374</v>
      </c>
      <c r="N109" s="207" t="s">
        <v>569</v>
      </c>
      <c r="O109" s="207">
        <f t="shared" si="47"/>
        <v>1.8654580152671758</v>
      </c>
      <c r="P109" s="207" t="s">
        <v>569</v>
      </c>
      <c r="Q109" s="222">
        <f t="shared" si="48"/>
        <v>1.880725190839695</v>
      </c>
      <c r="R109" s="206" t="s">
        <v>570</v>
      </c>
      <c r="S109" s="207">
        <f t="shared" si="49"/>
        <v>1.8979007633587788</v>
      </c>
      <c r="T109" s="207" t="s">
        <v>570</v>
      </c>
      <c r="U109" s="207">
        <f t="shared" si="50"/>
        <v>1.9141221374045803</v>
      </c>
      <c r="V109" s="207" t="s">
        <v>570</v>
      </c>
      <c r="W109" s="207">
        <f t="shared" si="51"/>
        <v>1.9312977099236641</v>
      </c>
      <c r="X109" s="207" t="s">
        <v>570</v>
      </c>
      <c r="Y109" s="207">
        <f t="shared" si="52"/>
        <v>1.9475190839694658</v>
      </c>
      <c r="Z109" s="207" t="s">
        <v>570</v>
      </c>
      <c r="AA109" s="207">
        <f t="shared" si="53"/>
        <v>1.9646946564885501</v>
      </c>
      <c r="AB109" s="207" t="s">
        <v>570</v>
      </c>
      <c r="AC109" s="207">
        <f t="shared" si="54"/>
        <v>1.9818702290076335</v>
      </c>
      <c r="AD109" s="207" t="s">
        <v>570</v>
      </c>
      <c r="AE109" s="223">
        <f t="shared" si="56"/>
        <v>2</v>
      </c>
      <c r="AF109" s="206" t="s">
        <v>570</v>
      </c>
      <c r="AG109" s="206">
        <f t="shared" si="57"/>
        <v>2.0190839694656493</v>
      </c>
      <c r="AH109" s="238" t="s">
        <v>570</v>
      </c>
      <c r="AI109" s="217">
        <f t="shared" si="59"/>
        <v>2.036259541984733</v>
      </c>
      <c r="AJ109" s="238" t="s">
        <v>570</v>
      </c>
      <c r="AK109" s="217">
        <f t="shared" si="60"/>
        <v>2.053435114503817</v>
      </c>
      <c r="AL109" s="238" t="s">
        <v>570</v>
      </c>
      <c r="AM109" s="217">
        <f t="shared" si="62"/>
        <v>2.0706106870229006</v>
      </c>
      <c r="AN109" s="238" t="s">
        <v>570</v>
      </c>
      <c r="AO109" s="218">
        <f t="shared" si="63"/>
        <v>2.0896946564885495</v>
      </c>
    </row>
    <row r="110" spans="1:41" ht="14.25" thickBot="1" thickTop="1">
      <c r="A110" s="198">
        <v>12</v>
      </c>
      <c r="B110" s="221" t="s">
        <v>499</v>
      </c>
      <c r="C110" s="231">
        <f t="shared" si="61"/>
        <v>1.5801526717557255</v>
      </c>
      <c r="D110" s="237" t="s">
        <v>569</v>
      </c>
      <c r="E110" s="234">
        <f t="shared" si="58"/>
        <v>1.5944656488549618</v>
      </c>
      <c r="F110" s="237" t="s">
        <v>569</v>
      </c>
      <c r="G110" s="234">
        <f t="shared" si="55"/>
        <v>1.6078244274809161</v>
      </c>
      <c r="H110" s="237" t="s">
        <v>569</v>
      </c>
      <c r="I110" s="234">
        <f t="shared" si="44"/>
        <v>1.6221374045801527</v>
      </c>
      <c r="J110" s="237" t="s">
        <v>569</v>
      </c>
      <c r="K110" s="234">
        <f t="shared" si="45"/>
        <v>1.6364503816793896</v>
      </c>
      <c r="L110" s="237" t="s">
        <v>569</v>
      </c>
      <c r="M110" s="234">
        <f t="shared" si="46"/>
        <v>1.650763358778626</v>
      </c>
      <c r="N110" s="237" t="s">
        <v>569</v>
      </c>
      <c r="O110" s="234">
        <f t="shared" si="47"/>
        <v>1.6650763358778626</v>
      </c>
      <c r="P110" s="237" t="s">
        <v>569</v>
      </c>
      <c r="Q110" s="235">
        <f t="shared" si="48"/>
        <v>1.6793893129770991</v>
      </c>
      <c r="R110" s="237" t="s">
        <v>570</v>
      </c>
      <c r="S110" s="234">
        <f t="shared" si="49"/>
        <v>1.6946564885496183</v>
      </c>
      <c r="T110" s="237" t="s">
        <v>570</v>
      </c>
      <c r="U110" s="234">
        <f t="shared" si="50"/>
        <v>1.708969465648855</v>
      </c>
      <c r="V110" s="237" t="s">
        <v>570</v>
      </c>
      <c r="W110" s="234">
        <f t="shared" si="51"/>
        <v>1.7251908396946565</v>
      </c>
      <c r="X110" s="237" t="s">
        <v>570</v>
      </c>
      <c r="Y110" s="234">
        <f t="shared" si="52"/>
        <v>1.7404580152671758</v>
      </c>
      <c r="Z110" s="237" t="s">
        <v>570</v>
      </c>
      <c r="AA110" s="234">
        <f t="shared" si="53"/>
        <v>1.7547709923664123</v>
      </c>
      <c r="AB110" s="237" t="s">
        <v>570</v>
      </c>
      <c r="AC110" s="242">
        <f t="shared" si="54"/>
        <v>1.7700381679389314</v>
      </c>
      <c r="AD110" s="237" t="s">
        <v>570</v>
      </c>
      <c r="AE110" s="234">
        <f t="shared" si="56"/>
        <v>1.7854113655640345</v>
      </c>
      <c r="AF110" s="237" t="s">
        <v>570</v>
      </c>
      <c r="AG110" s="234">
        <f t="shared" si="57"/>
        <v>1.801526717557252</v>
      </c>
      <c r="AH110" s="238" t="s">
        <v>570</v>
      </c>
      <c r="AI110" s="240">
        <f t="shared" si="59"/>
        <v>1.8167938931297711</v>
      </c>
      <c r="AJ110" s="238" t="s">
        <v>570</v>
      </c>
      <c r="AK110" s="240">
        <f t="shared" si="60"/>
        <v>1.8330152671755728</v>
      </c>
      <c r="AL110" s="238" t="s">
        <v>570</v>
      </c>
      <c r="AM110" s="240">
        <f t="shared" si="62"/>
        <v>1.849236641221374</v>
      </c>
      <c r="AN110" s="238" t="s">
        <v>570</v>
      </c>
      <c r="AO110" s="241">
        <f t="shared" si="63"/>
        <v>1.8654580152671758</v>
      </c>
    </row>
    <row r="111" spans="1:41" ht="13.5" thickTop="1">
      <c r="A111" s="198">
        <v>13</v>
      </c>
      <c r="B111" s="202" t="s">
        <v>498</v>
      </c>
      <c r="C111" s="229">
        <f t="shared" si="61"/>
        <v>1.4055343511450382</v>
      </c>
      <c r="D111" s="206" t="s">
        <v>569</v>
      </c>
      <c r="E111" s="207">
        <f t="shared" si="58"/>
        <v>1.4169847328244274</v>
      </c>
      <c r="F111" s="206" t="s">
        <v>569</v>
      </c>
      <c r="G111" s="207">
        <f t="shared" si="55"/>
        <v>1.4303435114503817</v>
      </c>
      <c r="H111" s="206" t="s">
        <v>569</v>
      </c>
      <c r="I111" s="207">
        <f t="shared" si="44"/>
        <v>1.4427480916030535</v>
      </c>
      <c r="J111" s="207" t="s">
        <v>569</v>
      </c>
      <c r="K111" s="207">
        <f t="shared" si="45"/>
        <v>1.4551526717557253</v>
      </c>
      <c r="L111" s="207" t="s">
        <v>569</v>
      </c>
      <c r="M111" s="207">
        <f t="shared" si="46"/>
        <v>1.4685114503816794</v>
      </c>
      <c r="N111" s="207" t="s">
        <v>569</v>
      </c>
      <c r="O111" s="207">
        <f t="shared" si="47"/>
        <v>1.4809160305343512</v>
      </c>
      <c r="P111" s="207" t="s">
        <v>569</v>
      </c>
      <c r="Q111" s="208">
        <f t="shared" si="48"/>
        <v>1.5</v>
      </c>
      <c r="R111" s="206" t="s">
        <v>570</v>
      </c>
      <c r="S111" s="207">
        <f t="shared" si="49"/>
        <v>1.5133587786259541</v>
      </c>
      <c r="T111" s="207" t="s">
        <v>570</v>
      </c>
      <c r="U111" s="207">
        <f t="shared" si="50"/>
        <v>1.5267175572519085</v>
      </c>
      <c r="V111" s="207" t="s">
        <v>570</v>
      </c>
      <c r="W111" s="207">
        <f t="shared" si="51"/>
        <v>1.5400763358778626</v>
      </c>
      <c r="X111" s="207" t="s">
        <v>570</v>
      </c>
      <c r="Y111" s="207">
        <f t="shared" si="52"/>
        <v>1.5534351145038168</v>
      </c>
      <c r="Z111" s="207" t="s">
        <v>570</v>
      </c>
      <c r="AA111" s="207">
        <f t="shared" si="53"/>
        <v>1.566793893129771</v>
      </c>
      <c r="AB111" s="207" t="s">
        <v>570</v>
      </c>
      <c r="AC111" s="214">
        <f t="shared" si="54"/>
        <v>1.5801526717557255</v>
      </c>
      <c r="AD111" s="207" t="s">
        <v>570</v>
      </c>
      <c r="AE111" s="206">
        <f t="shared" si="56"/>
        <v>1.5944656488549618</v>
      </c>
      <c r="AF111" s="206" t="s">
        <v>570</v>
      </c>
      <c r="AG111" s="206">
        <f t="shared" si="57"/>
        <v>1.6078244274809161</v>
      </c>
      <c r="AH111" s="238" t="s">
        <v>570</v>
      </c>
      <c r="AI111" s="217">
        <f t="shared" si="59"/>
        <v>1.6221374045801527</v>
      </c>
      <c r="AJ111" s="238" t="s">
        <v>570</v>
      </c>
      <c r="AK111" s="217">
        <f t="shared" si="60"/>
        <v>1.6364503816793896</v>
      </c>
      <c r="AL111" s="238" t="s">
        <v>570</v>
      </c>
      <c r="AM111" s="217">
        <f t="shared" si="62"/>
        <v>1.650763358778626</v>
      </c>
      <c r="AN111" s="238" t="s">
        <v>570</v>
      </c>
      <c r="AO111" s="218">
        <f t="shared" si="63"/>
        <v>1.6650763358778626</v>
      </c>
    </row>
    <row r="112" spans="1:41" ht="12.75">
      <c r="A112" s="198">
        <v>14</v>
      </c>
      <c r="B112" s="202" t="s">
        <v>497</v>
      </c>
      <c r="C112" s="232">
        <f t="shared" si="61"/>
        <v>1.2547709923664123</v>
      </c>
      <c r="D112" s="206" t="s">
        <v>569</v>
      </c>
      <c r="E112" s="207">
        <f t="shared" si="58"/>
        <v>1.2662213740458015</v>
      </c>
      <c r="F112" s="206" t="s">
        <v>569</v>
      </c>
      <c r="G112" s="207">
        <f t="shared" si="55"/>
        <v>1.2767175572519085</v>
      </c>
      <c r="H112" s="206" t="s">
        <v>569</v>
      </c>
      <c r="I112" s="207">
        <f t="shared" si="44"/>
        <v>1.2881679389312977</v>
      </c>
      <c r="J112" s="207" t="s">
        <v>569</v>
      </c>
      <c r="K112" s="207">
        <f t="shared" si="45"/>
        <v>1.299618320610687</v>
      </c>
      <c r="L112" s="207" t="s">
        <v>569</v>
      </c>
      <c r="M112" s="207">
        <f t="shared" si="46"/>
        <v>1.3110687022900764</v>
      </c>
      <c r="N112" s="207" t="s">
        <v>569</v>
      </c>
      <c r="O112" s="207">
        <f t="shared" si="47"/>
        <v>1.3225190839694656</v>
      </c>
      <c r="P112" s="207" t="s">
        <v>569</v>
      </c>
      <c r="Q112" s="222">
        <f t="shared" si="48"/>
        <v>1.333333333333332</v>
      </c>
      <c r="R112" s="206" t="s">
        <v>570</v>
      </c>
      <c r="S112" s="207">
        <f t="shared" si="49"/>
        <v>1.3454198473282444</v>
      </c>
      <c r="T112" s="207" t="s">
        <v>570</v>
      </c>
      <c r="U112" s="207">
        <f t="shared" si="50"/>
        <v>1.3568702290076335</v>
      </c>
      <c r="V112" s="207" t="s">
        <v>570</v>
      </c>
      <c r="W112" s="207">
        <f t="shared" si="51"/>
        <v>1.3692748091603053</v>
      </c>
      <c r="X112" s="207" t="s">
        <v>570</v>
      </c>
      <c r="Y112" s="207">
        <f t="shared" si="52"/>
        <v>1.3807251908396947</v>
      </c>
      <c r="Z112" s="207" t="s">
        <v>570</v>
      </c>
      <c r="AA112" s="207">
        <f t="shared" si="53"/>
        <v>1.3931297709923667</v>
      </c>
      <c r="AB112" s="207" t="s">
        <v>570</v>
      </c>
      <c r="AC112" s="216">
        <f t="shared" si="54"/>
        <v>1.4055343511450382</v>
      </c>
      <c r="AD112" s="207" t="s">
        <v>570</v>
      </c>
      <c r="AE112" s="206">
        <f t="shared" si="56"/>
        <v>1.4169847328244274</v>
      </c>
      <c r="AF112" s="206" t="s">
        <v>570</v>
      </c>
      <c r="AG112" s="206">
        <f t="shared" si="57"/>
        <v>1.4303435114503817</v>
      </c>
      <c r="AH112" s="238" t="s">
        <v>570</v>
      </c>
      <c r="AI112" s="217">
        <f t="shared" si="59"/>
        <v>1.4427480916030535</v>
      </c>
      <c r="AJ112" s="238" t="s">
        <v>570</v>
      </c>
      <c r="AK112" s="217">
        <f t="shared" si="60"/>
        <v>1.4551526717557253</v>
      </c>
      <c r="AL112" s="238" t="s">
        <v>570</v>
      </c>
      <c r="AM112" s="217">
        <f t="shared" si="62"/>
        <v>1.4685114503816794</v>
      </c>
      <c r="AN112" s="238" t="s">
        <v>570</v>
      </c>
      <c r="AO112" s="218">
        <f t="shared" si="63"/>
        <v>1.4809160305343512</v>
      </c>
    </row>
    <row r="113" spans="1:41" ht="12.75">
      <c r="A113" s="198">
        <v>15</v>
      </c>
      <c r="B113" s="202" t="s">
        <v>495</v>
      </c>
      <c r="C113" s="229">
        <f t="shared" si="61"/>
        <v>1.1803435114503817</v>
      </c>
      <c r="D113" s="206" t="s">
        <v>569</v>
      </c>
      <c r="E113" s="207">
        <f t="shared" si="58"/>
        <v>1.1908396946564885</v>
      </c>
      <c r="F113" s="206" t="s">
        <v>569</v>
      </c>
      <c r="G113" s="207">
        <f t="shared" si="55"/>
        <v>1.2013358778625953</v>
      </c>
      <c r="H113" s="206" t="s">
        <v>569</v>
      </c>
      <c r="I113" s="207">
        <f t="shared" si="44"/>
        <v>1.2118320610687023</v>
      </c>
      <c r="J113" s="207" t="s">
        <v>569</v>
      </c>
      <c r="K113" s="207">
        <f t="shared" si="45"/>
        <v>1.2223282442748091</v>
      </c>
      <c r="L113" s="207" t="s">
        <v>569</v>
      </c>
      <c r="M113" s="207">
        <f t="shared" si="46"/>
        <v>1.2328244274809161</v>
      </c>
      <c r="N113" s="207" t="s">
        <v>569</v>
      </c>
      <c r="O113" s="207">
        <f t="shared" si="47"/>
        <v>1.2442748091603053</v>
      </c>
      <c r="P113" s="207" t="s">
        <v>569</v>
      </c>
      <c r="Q113" s="222">
        <f t="shared" si="48"/>
        <v>1.2547709923664123</v>
      </c>
      <c r="R113" s="206" t="s">
        <v>570</v>
      </c>
      <c r="S113" s="207">
        <f t="shared" si="49"/>
        <v>1.2662213740458015</v>
      </c>
      <c r="T113" s="207" t="s">
        <v>570</v>
      </c>
      <c r="U113" s="207">
        <f t="shared" si="50"/>
        <v>1.2767175572519085</v>
      </c>
      <c r="V113" s="207" t="s">
        <v>570</v>
      </c>
      <c r="W113" s="207">
        <f t="shared" si="51"/>
        <v>1.2881679389312977</v>
      </c>
      <c r="X113" s="207" t="s">
        <v>570</v>
      </c>
      <c r="Y113" s="207">
        <f t="shared" si="52"/>
        <v>1.299618320610687</v>
      </c>
      <c r="Z113" s="207" t="s">
        <v>570</v>
      </c>
      <c r="AA113" s="207">
        <f t="shared" si="53"/>
        <v>1.3110687022900764</v>
      </c>
      <c r="AB113" s="207" t="s">
        <v>570</v>
      </c>
      <c r="AC113" s="206">
        <f t="shared" si="54"/>
        <v>1.3225190839694656</v>
      </c>
      <c r="AD113" s="207" t="s">
        <v>570</v>
      </c>
      <c r="AE113" s="223">
        <f t="shared" si="56"/>
        <v>1.333333333333332</v>
      </c>
      <c r="AF113" s="206" t="s">
        <v>570</v>
      </c>
      <c r="AG113" s="206">
        <f t="shared" si="57"/>
        <v>1.3454198473282444</v>
      </c>
      <c r="AH113" s="238" t="s">
        <v>570</v>
      </c>
      <c r="AI113" s="217">
        <f t="shared" si="59"/>
        <v>1.3568702290076335</v>
      </c>
      <c r="AJ113" s="238" t="s">
        <v>570</v>
      </c>
      <c r="AK113" s="217">
        <f t="shared" si="60"/>
        <v>1.3692748091603053</v>
      </c>
      <c r="AL113" s="238" t="s">
        <v>570</v>
      </c>
      <c r="AM113" s="217">
        <f t="shared" si="62"/>
        <v>1.3807251908396947</v>
      </c>
      <c r="AN113" s="238" t="s">
        <v>570</v>
      </c>
      <c r="AO113" s="218">
        <f t="shared" si="63"/>
        <v>1.3931297709923667</v>
      </c>
    </row>
    <row r="114" spans="1:41" ht="13.5" thickBot="1">
      <c r="A114" s="198">
        <v>16</v>
      </c>
      <c r="B114" s="202" t="s">
        <v>494</v>
      </c>
      <c r="C114" s="229">
        <f t="shared" si="61"/>
        <v>1.0543893129770991</v>
      </c>
      <c r="D114" s="206" t="s">
        <v>569</v>
      </c>
      <c r="E114" s="207">
        <f t="shared" si="58"/>
        <v>1.0629770992366412</v>
      </c>
      <c r="F114" s="206" t="s">
        <v>569</v>
      </c>
      <c r="G114" s="207">
        <f t="shared" si="55"/>
        <v>1.0725190839694656</v>
      </c>
      <c r="H114" s="206" t="s">
        <v>569</v>
      </c>
      <c r="I114" s="207">
        <f t="shared" si="44"/>
        <v>1.08206106870229</v>
      </c>
      <c r="J114" s="207" t="s">
        <v>569</v>
      </c>
      <c r="K114" s="207">
        <f t="shared" si="45"/>
        <v>1.0916030534351144</v>
      </c>
      <c r="L114" s="207" t="s">
        <v>569</v>
      </c>
      <c r="M114" s="207">
        <f t="shared" si="46"/>
        <v>1.1011450381679388</v>
      </c>
      <c r="N114" s="207" t="s">
        <v>569</v>
      </c>
      <c r="O114" s="207">
        <f t="shared" si="47"/>
        <v>1.1106870229007633</v>
      </c>
      <c r="P114" s="207" t="s">
        <v>569</v>
      </c>
      <c r="Q114" s="208">
        <f>Q82/$Q$83</f>
        <v>1.1202290076335877</v>
      </c>
      <c r="R114" s="206" t="s">
        <v>570</v>
      </c>
      <c r="S114" s="207">
        <f t="shared" si="49"/>
        <v>1.1297709923664123</v>
      </c>
      <c r="T114" s="207" t="s">
        <v>570</v>
      </c>
      <c r="U114" s="207">
        <f t="shared" si="50"/>
        <v>1.140267175572519</v>
      </c>
      <c r="V114" s="207" t="s">
        <v>570</v>
      </c>
      <c r="W114" s="207">
        <f t="shared" si="51"/>
        <v>1.1498091603053435</v>
      </c>
      <c r="X114" s="207" t="s">
        <v>570</v>
      </c>
      <c r="Y114" s="207">
        <f t="shared" si="52"/>
        <v>1.1603053435114503</v>
      </c>
      <c r="Z114" s="207" t="s">
        <v>570</v>
      </c>
      <c r="AA114" s="207">
        <f t="shared" si="53"/>
        <v>1.1698473282442747</v>
      </c>
      <c r="AB114" s="207" t="s">
        <v>570</v>
      </c>
      <c r="AC114" s="216">
        <f t="shared" si="54"/>
        <v>1.1803435114503817</v>
      </c>
      <c r="AD114" s="207" t="s">
        <v>570</v>
      </c>
      <c r="AE114" s="207">
        <f t="shared" si="56"/>
        <v>1.1908396946564885</v>
      </c>
      <c r="AF114" s="206" t="s">
        <v>570</v>
      </c>
      <c r="AG114" s="207">
        <f t="shared" si="57"/>
        <v>1.2013358778625953</v>
      </c>
      <c r="AH114" s="238" t="s">
        <v>570</v>
      </c>
      <c r="AI114" s="217">
        <f t="shared" si="59"/>
        <v>1.2118320610687023</v>
      </c>
      <c r="AJ114" s="238" t="s">
        <v>570</v>
      </c>
      <c r="AK114" s="217">
        <f t="shared" si="60"/>
        <v>1.2223282442748091</v>
      </c>
      <c r="AL114" s="238" t="s">
        <v>570</v>
      </c>
      <c r="AM114" s="217">
        <f t="shared" si="62"/>
        <v>1.2328244274809161</v>
      </c>
      <c r="AN114" s="238" t="s">
        <v>570</v>
      </c>
      <c r="AO114" s="218">
        <f t="shared" si="63"/>
        <v>1.2442748091603053</v>
      </c>
    </row>
    <row r="115" spans="1:41" ht="14.25" thickBot="1" thickTop="1">
      <c r="A115" s="198">
        <v>17</v>
      </c>
      <c r="B115" s="220" t="s">
        <v>481</v>
      </c>
      <c r="C115" s="233">
        <f t="shared" si="61"/>
        <v>0.9403625954198473</v>
      </c>
      <c r="D115" s="236" t="s">
        <v>569</v>
      </c>
      <c r="E115" s="209">
        <f t="shared" si="58"/>
        <v>0.9489503816793893</v>
      </c>
      <c r="F115" s="236" t="s">
        <v>569</v>
      </c>
      <c r="G115" s="209">
        <f t="shared" si="55"/>
        <v>0.9570610687022901</v>
      </c>
      <c r="H115" s="236" t="s">
        <v>569</v>
      </c>
      <c r="I115" s="209">
        <f t="shared" si="44"/>
        <v>0.9656488549618321</v>
      </c>
      <c r="J115" s="236" t="s">
        <v>569</v>
      </c>
      <c r="K115" s="209">
        <f t="shared" si="45"/>
        <v>0.9737595419847329</v>
      </c>
      <c r="L115" s="236" t="s">
        <v>569</v>
      </c>
      <c r="M115" s="209">
        <f t="shared" si="46"/>
        <v>0.9823473282442748</v>
      </c>
      <c r="N115" s="236" t="s">
        <v>569</v>
      </c>
      <c r="O115" s="209">
        <f t="shared" si="47"/>
        <v>0.9909351145038168</v>
      </c>
      <c r="P115" s="236" t="s">
        <v>569</v>
      </c>
      <c r="Q115" s="225">
        <f>Q83/$Q$83</f>
        <v>1</v>
      </c>
      <c r="R115" s="236" t="s">
        <v>570</v>
      </c>
      <c r="S115" s="209">
        <f t="shared" si="49"/>
        <v>1.0095419847328244</v>
      </c>
      <c r="T115" s="236" t="s">
        <v>570</v>
      </c>
      <c r="U115" s="209">
        <f t="shared" si="50"/>
        <v>1.0181297709923665</v>
      </c>
      <c r="V115" s="236" t="s">
        <v>570</v>
      </c>
      <c r="W115" s="209">
        <f t="shared" si="51"/>
        <v>1.0267175572519085</v>
      </c>
      <c r="X115" s="236" t="s">
        <v>570</v>
      </c>
      <c r="Y115" s="209">
        <f t="shared" si="52"/>
        <v>1.0353053435114503</v>
      </c>
      <c r="Z115" s="236" t="s">
        <v>570</v>
      </c>
      <c r="AA115" s="209">
        <f t="shared" si="53"/>
        <v>1.0448473282442747</v>
      </c>
      <c r="AB115" s="236" t="s">
        <v>570</v>
      </c>
      <c r="AC115" s="224">
        <f t="shared" si="54"/>
        <v>1.0543893129770991</v>
      </c>
      <c r="AD115" s="236" t="s">
        <v>570</v>
      </c>
      <c r="AE115" s="209">
        <f t="shared" si="56"/>
        <v>1.0629770992366412</v>
      </c>
      <c r="AF115" s="236" t="s">
        <v>570</v>
      </c>
      <c r="AG115" s="209">
        <f t="shared" si="57"/>
        <v>1.0725190839694656</v>
      </c>
      <c r="AH115" s="238" t="s">
        <v>570</v>
      </c>
      <c r="AI115" s="226">
        <f t="shared" si="59"/>
        <v>1.08206106870229</v>
      </c>
      <c r="AJ115" s="238" t="s">
        <v>570</v>
      </c>
      <c r="AK115" s="226">
        <f t="shared" si="60"/>
        <v>1.0916030534351144</v>
      </c>
      <c r="AL115" s="238" t="s">
        <v>570</v>
      </c>
      <c r="AM115" s="226">
        <f t="shared" si="62"/>
        <v>1.1011450381679388</v>
      </c>
      <c r="AN115" s="238" t="s">
        <v>570</v>
      </c>
      <c r="AO115" s="227">
        <f t="shared" si="63"/>
        <v>1.1106870229007633</v>
      </c>
    </row>
    <row r="116" spans="1:41" ht="13.5" thickTop="1">
      <c r="A116" s="198">
        <v>18</v>
      </c>
      <c r="B116" s="202" t="s">
        <v>480</v>
      </c>
      <c r="C116" s="229">
        <f t="shared" si="61"/>
        <v>0.8850190839694656</v>
      </c>
      <c r="D116" s="206" t="s">
        <v>569</v>
      </c>
      <c r="E116" s="207">
        <f t="shared" si="58"/>
        <v>0.8927056827820172</v>
      </c>
      <c r="F116" s="206" t="s">
        <v>569</v>
      </c>
      <c r="G116" s="207">
        <f t="shared" si="55"/>
        <v>0.9007633587786258</v>
      </c>
      <c r="H116" s="206" t="s">
        <v>569</v>
      </c>
      <c r="I116" s="207">
        <f t="shared" si="44"/>
        <v>0.9083969465648855</v>
      </c>
      <c r="J116" s="207" t="s">
        <v>569</v>
      </c>
      <c r="K116" s="207">
        <f t="shared" si="45"/>
        <v>0.9165076335877864</v>
      </c>
      <c r="L116" s="207" t="s">
        <v>569</v>
      </c>
      <c r="M116" s="207">
        <f t="shared" si="46"/>
        <v>0.9246183206106868</v>
      </c>
      <c r="N116" s="207" t="s">
        <v>569</v>
      </c>
      <c r="O116" s="207">
        <f t="shared" si="47"/>
        <v>0.9327290076335878</v>
      </c>
      <c r="P116" s="207" t="s">
        <v>569</v>
      </c>
      <c r="Q116" s="222">
        <f aca="true" t="shared" si="64" ref="Q116:Q124">Q84/$Q$83</f>
        <v>0.9403625954198473</v>
      </c>
      <c r="R116" s="206" t="s">
        <v>570</v>
      </c>
      <c r="S116" s="207">
        <f t="shared" si="49"/>
        <v>0.9489503816793893</v>
      </c>
      <c r="T116" s="207" t="s">
        <v>570</v>
      </c>
      <c r="U116" s="207">
        <f t="shared" si="50"/>
        <v>0.9570610687022901</v>
      </c>
      <c r="V116" s="207" t="s">
        <v>570</v>
      </c>
      <c r="W116" s="207">
        <f t="shared" si="51"/>
        <v>0.9656488549618321</v>
      </c>
      <c r="X116" s="207" t="s">
        <v>570</v>
      </c>
      <c r="Y116" s="207">
        <f t="shared" si="52"/>
        <v>0.9737595419847329</v>
      </c>
      <c r="Z116" s="207" t="s">
        <v>570</v>
      </c>
      <c r="AA116" s="207">
        <f t="shared" si="53"/>
        <v>0.9823473282442748</v>
      </c>
      <c r="AB116" s="207" t="s">
        <v>570</v>
      </c>
      <c r="AC116" s="206">
        <f t="shared" si="54"/>
        <v>0.9909351145038168</v>
      </c>
      <c r="AD116" s="207" t="s">
        <v>570</v>
      </c>
      <c r="AE116" s="223">
        <f t="shared" si="56"/>
        <v>1</v>
      </c>
      <c r="AF116" s="206" t="s">
        <v>570</v>
      </c>
      <c r="AG116" s="206">
        <f t="shared" si="57"/>
        <v>1.0095419847328244</v>
      </c>
      <c r="AH116" s="238" t="s">
        <v>570</v>
      </c>
      <c r="AI116" s="217">
        <f t="shared" si="59"/>
        <v>1.0181297709923665</v>
      </c>
      <c r="AJ116" s="238" t="s">
        <v>570</v>
      </c>
      <c r="AK116" s="217">
        <f t="shared" si="60"/>
        <v>1.0267175572519085</v>
      </c>
      <c r="AL116" s="238" t="s">
        <v>570</v>
      </c>
      <c r="AM116" s="217">
        <f t="shared" si="62"/>
        <v>1.0353053435114503</v>
      </c>
      <c r="AN116" s="238" t="s">
        <v>570</v>
      </c>
      <c r="AO116" s="218">
        <f t="shared" si="63"/>
        <v>1.0448473282442747</v>
      </c>
    </row>
    <row r="117" spans="1:41" ht="12.75">
      <c r="A117" s="198">
        <v>19</v>
      </c>
      <c r="B117" s="202" t="s">
        <v>479</v>
      </c>
      <c r="C117" s="229">
        <f t="shared" si="61"/>
        <v>0.7900763358778627</v>
      </c>
      <c r="D117" s="206" t="s">
        <v>569</v>
      </c>
      <c r="E117" s="207">
        <f t="shared" si="58"/>
        <v>0.7972328244274808</v>
      </c>
      <c r="F117" s="206" t="s">
        <v>569</v>
      </c>
      <c r="G117" s="207">
        <f t="shared" si="55"/>
        <v>0.803912213740458</v>
      </c>
      <c r="H117" s="206" t="s">
        <v>569</v>
      </c>
      <c r="I117" s="207">
        <f t="shared" si="44"/>
        <v>0.8110687022900763</v>
      </c>
      <c r="J117" s="207" t="s">
        <v>569</v>
      </c>
      <c r="K117" s="207">
        <f t="shared" si="45"/>
        <v>0.8182251908396947</v>
      </c>
      <c r="L117" s="207" t="s">
        <v>569</v>
      </c>
      <c r="M117" s="207">
        <f t="shared" si="46"/>
        <v>0.825381679389313</v>
      </c>
      <c r="N117" s="207" t="s">
        <v>569</v>
      </c>
      <c r="O117" s="207">
        <f t="shared" si="47"/>
        <v>0.8325381679389312</v>
      </c>
      <c r="P117" s="207" t="s">
        <v>569</v>
      </c>
      <c r="Q117" s="208">
        <f t="shared" si="64"/>
        <v>0.8396946564885496</v>
      </c>
      <c r="R117" s="206" t="s">
        <v>570</v>
      </c>
      <c r="S117" s="207">
        <f t="shared" si="49"/>
        <v>0.8473282442748092</v>
      </c>
      <c r="T117" s="207" t="s">
        <v>570</v>
      </c>
      <c r="U117" s="207">
        <f t="shared" si="50"/>
        <v>0.8544847328244274</v>
      </c>
      <c r="V117" s="207" t="s">
        <v>570</v>
      </c>
      <c r="W117" s="207">
        <f t="shared" si="51"/>
        <v>0.8625954198473282</v>
      </c>
      <c r="X117" s="207" t="s">
        <v>570</v>
      </c>
      <c r="Y117" s="207">
        <f t="shared" si="52"/>
        <v>0.8702290076335878</v>
      </c>
      <c r="Z117" s="207" t="s">
        <v>570</v>
      </c>
      <c r="AA117" s="207">
        <f t="shared" si="53"/>
        <v>0.8773854961832062</v>
      </c>
      <c r="AB117" s="207" t="s">
        <v>570</v>
      </c>
      <c r="AC117" s="216">
        <f t="shared" si="54"/>
        <v>0.8850190839694656</v>
      </c>
      <c r="AD117" s="207" t="s">
        <v>570</v>
      </c>
      <c r="AE117" s="206">
        <f t="shared" si="56"/>
        <v>0.8927056827820172</v>
      </c>
      <c r="AF117" s="206" t="s">
        <v>570</v>
      </c>
      <c r="AG117" s="206">
        <f t="shared" si="57"/>
        <v>0.9007633587786258</v>
      </c>
      <c r="AH117" s="238" t="s">
        <v>570</v>
      </c>
      <c r="AI117" s="217">
        <f t="shared" si="59"/>
        <v>0.9083969465648855</v>
      </c>
      <c r="AJ117" s="238" t="s">
        <v>570</v>
      </c>
      <c r="AK117" s="217">
        <f t="shared" si="60"/>
        <v>0.9165076335877864</v>
      </c>
      <c r="AL117" s="238" t="s">
        <v>570</v>
      </c>
      <c r="AM117" s="217">
        <f t="shared" si="62"/>
        <v>0.9246183206106868</v>
      </c>
      <c r="AN117" s="238" t="s">
        <v>570</v>
      </c>
      <c r="AO117" s="218">
        <f t="shared" si="63"/>
        <v>0.9327290076335878</v>
      </c>
    </row>
    <row r="118" spans="1:41" ht="12.75">
      <c r="A118" s="198">
        <v>20</v>
      </c>
      <c r="B118" s="202" t="s">
        <v>478</v>
      </c>
      <c r="C118" s="229">
        <f t="shared" si="61"/>
        <v>0.7027671755725191</v>
      </c>
      <c r="D118" s="206" t="s">
        <v>569</v>
      </c>
      <c r="E118" s="207">
        <f t="shared" si="58"/>
        <v>0.7084923664122136</v>
      </c>
      <c r="F118" s="206" t="s">
        <v>569</v>
      </c>
      <c r="G118" s="207">
        <f t="shared" si="55"/>
        <v>0.7151717557251909</v>
      </c>
      <c r="H118" s="206" t="s">
        <v>569</v>
      </c>
      <c r="I118" s="207">
        <f t="shared" si="44"/>
        <v>0.7213740458015268</v>
      </c>
      <c r="J118" s="207" t="s">
        <v>569</v>
      </c>
      <c r="K118" s="207">
        <f t="shared" si="45"/>
        <v>0.7275763358778626</v>
      </c>
      <c r="L118" s="207" t="s">
        <v>569</v>
      </c>
      <c r="M118" s="207">
        <f t="shared" si="46"/>
        <v>0.7342557251908396</v>
      </c>
      <c r="N118" s="207" t="s">
        <v>569</v>
      </c>
      <c r="O118" s="207">
        <f t="shared" si="47"/>
        <v>0.7404580152671755</v>
      </c>
      <c r="P118" s="207" t="s">
        <v>569</v>
      </c>
      <c r="Q118" s="208">
        <f t="shared" si="64"/>
        <v>0.7499999999999999</v>
      </c>
      <c r="R118" s="206" t="s">
        <v>570</v>
      </c>
      <c r="S118" s="207">
        <f t="shared" si="49"/>
        <v>0.756679389312977</v>
      </c>
      <c r="T118" s="207" t="s">
        <v>570</v>
      </c>
      <c r="U118" s="207">
        <f t="shared" si="50"/>
        <v>0.7633587786259541</v>
      </c>
      <c r="V118" s="207" t="s">
        <v>570</v>
      </c>
      <c r="W118" s="207">
        <f t="shared" si="51"/>
        <v>0.7700381679389313</v>
      </c>
      <c r="X118" s="207" t="s">
        <v>570</v>
      </c>
      <c r="Y118" s="207">
        <f t="shared" si="52"/>
        <v>0.7767175572519083</v>
      </c>
      <c r="Z118" s="207" t="s">
        <v>570</v>
      </c>
      <c r="AA118" s="207">
        <f t="shared" si="53"/>
        <v>0.7833969465648855</v>
      </c>
      <c r="AB118" s="207" t="s">
        <v>570</v>
      </c>
      <c r="AC118" s="216">
        <f t="shared" si="54"/>
        <v>0.7900763358778627</v>
      </c>
      <c r="AD118" s="207" t="s">
        <v>570</v>
      </c>
      <c r="AE118" s="206">
        <f t="shared" si="56"/>
        <v>0.7972328244274808</v>
      </c>
      <c r="AF118" s="206" t="s">
        <v>570</v>
      </c>
      <c r="AG118" s="206">
        <f t="shared" si="57"/>
        <v>0.803912213740458</v>
      </c>
      <c r="AH118" s="238" t="s">
        <v>570</v>
      </c>
      <c r="AI118" s="217">
        <f t="shared" si="59"/>
        <v>0.8110687022900763</v>
      </c>
      <c r="AJ118" s="238" t="s">
        <v>570</v>
      </c>
      <c r="AK118" s="217">
        <f t="shared" si="60"/>
        <v>0.8182251908396947</v>
      </c>
      <c r="AL118" s="238" t="s">
        <v>570</v>
      </c>
      <c r="AM118" s="217">
        <f t="shared" si="62"/>
        <v>0.825381679389313</v>
      </c>
      <c r="AN118" s="238" t="s">
        <v>570</v>
      </c>
      <c r="AO118" s="218">
        <f t="shared" si="63"/>
        <v>0.8325381679389312</v>
      </c>
    </row>
    <row r="119" spans="1:41" ht="12.75">
      <c r="A119" s="198">
        <v>21</v>
      </c>
      <c r="B119" s="202" t="s">
        <v>476</v>
      </c>
      <c r="C119" s="232">
        <f t="shared" si="61"/>
        <v>0.6273854961832062</v>
      </c>
      <c r="D119" s="206" t="s">
        <v>569</v>
      </c>
      <c r="E119" s="206">
        <f t="shared" si="58"/>
        <v>0.6331106870229007</v>
      </c>
      <c r="F119" s="206" t="s">
        <v>569</v>
      </c>
      <c r="G119" s="206">
        <f t="shared" si="55"/>
        <v>0.6383587786259542</v>
      </c>
      <c r="H119" s="206" t="s">
        <v>569</v>
      </c>
      <c r="I119" s="206">
        <f t="shared" si="44"/>
        <v>0.6440839694656488</v>
      </c>
      <c r="J119" s="206" t="s">
        <v>569</v>
      </c>
      <c r="K119" s="206">
        <f t="shared" si="45"/>
        <v>0.6498091603053435</v>
      </c>
      <c r="L119" s="206" t="s">
        <v>569</v>
      </c>
      <c r="M119" s="206">
        <f t="shared" si="46"/>
        <v>0.6555343511450382</v>
      </c>
      <c r="N119" s="206" t="s">
        <v>569</v>
      </c>
      <c r="O119" s="206">
        <f t="shared" si="47"/>
        <v>0.6612595419847328</v>
      </c>
      <c r="P119" s="206" t="s">
        <v>569</v>
      </c>
      <c r="Q119" s="222">
        <f t="shared" si="64"/>
        <v>0.6666666666666659</v>
      </c>
      <c r="R119" s="206" t="s">
        <v>570</v>
      </c>
      <c r="S119" s="206">
        <f t="shared" si="49"/>
        <v>0.6727099236641222</v>
      </c>
      <c r="T119" s="206" t="s">
        <v>570</v>
      </c>
      <c r="U119" s="206">
        <f t="shared" si="50"/>
        <v>0.6784351145038168</v>
      </c>
      <c r="V119" s="206" t="s">
        <v>570</v>
      </c>
      <c r="W119" s="206">
        <f t="shared" si="51"/>
        <v>0.6846374045801528</v>
      </c>
      <c r="X119" s="206" t="s">
        <v>570</v>
      </c>
      <c r="Y119" s="206">
        <f t="shared" si="52"/>
        <v>0.6903625954198473</v>
      </c>
      <c r="Z119" s="206" t="s">
        <v>570</v>
      </c>
      <c r="AA119" s="206">
        <f t="shared" si="53"/>
        <v>0.6965648854961832</v>
      </c>
      <c r="AB119" s="206" t="s">
        <v>570</v>
      </c>
      <c r="AC119" s="216">
        <f t="shared" si="54"/>
        <v>0.7027671755725191</v>
      </c>
      <c r="AD119" s="206" t="s">
        <v>570</v>
      </c>
      <c r="AE119" s="206">
        <f t="shared" si="56"/>
        <v>0.7084923664122136</v>
      </c>
      <c r="AF119" s="206" t="s">
        <v>570</v>
      </c>
      <c r="AG119" s="206">
        <f t="shared" si="57"/>
        <v>0.7151717557251909</v>
      </c>
      <c r="AH119" s="238" t="s">
        <v>570</v>
      </c>
      <c r="AI119" s="217">
        <f t="shared" si="59"/>
        <v>0.7213740458015268</v>
      </c>
      <c r="AJ119" s="238" t="s">
        <v>570</v>
      </c>
      <c r="AK119" s="217">
        <f t="shared" si="60"/>
        <v>0.7275763358778626</v>
      </c>
      <c r="AL119" s="238" t="s">
        <v>570</v>
      </c>
      <c r="AM119" s="217">
        <f t="shared" si="62"/>
        <v>0.7342557251908396</v>
      </c>
      <c r="AN119" s="238" t="s">
        <v>570</v>
      </c>
      <c r="AO119" s="218">
        <f t="shared" si="63"/>
        <v>0.7404580152671755</v>
      </c>
    </row>
    <row r="120" spans="1:41" ht="12.75">
      <c r="A120" s="198">
        <v>22</v>
      </c>
      <c r="B120" s="202" t="s">
        <v>477</v>
      </c>
      <c r="C120" s="229">
        <f t="shared" si="61"/>
        <v>0.5901717557251908</v>
      </c>
      <c r="D120" s="206" t="s">
        <v>569</v>
      </c>
      <c r="E120" s="206">
        <f t="shared" si="58"/>
        <v>0.5954198473282444</v>
      </c>
      <c r="F120" s="206" t="s">
        <v>569</v>
      </c>
      <c r="G120" s="206">
        <f t="shared" si="55"/>
        <v>0.6006679389312977</v>
      </c>
      <c r="H120" s="206" t="s">
        <v>569</v>
      </c>
      <c r="I120" s="206">
        <f t="shared" si="44"/>
        <v>0.6059160305343511</v>
      </c>
      <c r="J120" s="206" t="s">
        <v>569</v>
      </c>
      <c r="K120" s="206">
        <f t="shared" si="45"/>
        <v>0.6111641221374045</v>
      </c>
      <c r="L120" s="206" t="s">
        <v>569</v>
      </c>
      <c r="M120" s="206">
        <f t="shared" si="46"/>
        <v>0.6164122137404581</v>
      </c>
      <c r="N120" s="206" t="s">
        <v>569</v>
      </c>
      <c r="O120" s="206">
        <f t="shared" si="47"/>
        <v>0.6221374045801527</v>
      </c>
      <c r="P120" s="206" t="s">
        <v>569</v>
      </c>
      <c r="Q120" s="222">
        <f t="shared" si="64"/>
        <v>0.6273854961832062</v>
      </c>
      <c r="R120" s="206" t="s">
        <v>570</v>
      </c>
      <c r="S120" s="206">
        <f t="shared" si="49"/>
        <v>0.6331106870229007</v>
      </c>
      <c r="T120" s="206" t="s">
        <v>570</v>
      </c>
      <c r="U120" s="206">
        <f t="shared" si="50"/>
        <v>0.6383587786259542</v>
      </c>
      <c r="V120" s="206" t="s">
        <v>570</v>
      </c>
      <c r="W120" s="206">
        <f t="shared" si="51"/>
        <v>0.6440839694656488</v>
      </c>
      <c r="X120" s="206" t="s">
        <v>570</v>
      </c>
      <c r="Y120" s="206">
        <f t="shared" si="52"/>
        <v>0.6498091603053435</v>
      </c>
      <c r="Z120" s="206" t="s">
        <v>570</v>
      </c>
      <c r="AA120" s="206">
        <f t="shared" si="53"/>
        <v>0.6555343511450382</v>
      </c>
      <c r="AB120" s="206" t="s">
        <v>570</v>
      </c>
      <c r="AC120" s="206">
        <f t="shared" si="54"/>
        <v>0.6612595419847328</v>
      </c>
      <c r="AD120" s="206" t="s">
        <v>570</v>
      </c>
      <c r="AE120" s="223">
        <f t="shared" si="56"/>
        <v>0.6666666666666659</v>
      </c>
      <c r="AF120" s="206" t="s">
        <v>570</v>
      </c>
      <c r="AG120" s="206">
        <f t="shared" si="57"/>
        <v>0.6727099236641222</v>
      </c>
      <c r="AH120" s="238" t="s">
        <v>570</v>
      </c>
      <c r="AI120" s="217">
        <f t="shared" si="59"/>
        <v>0.6784351145038168</v>
      </c>
      <c r="AJ120" s="238" t="s">
        <v>570</v>
      </c>
      <c r="AK120" s="217">
        <f t="shared" si="60"/>
        <v>0.6846374045801528</v>
      </c>
      <c r="AL120" s="238" t="s">
        <v>570</v>
      </c>
      <c r="AM120" s="217">
        <f t="shared" si="62"/>
        <v>0.6903625954198473</v>
      </c>
      <c r="AN120" s="238" t="s">
        <v>570</v>
      </c>
      <c r="AO120" s="218">
        <f t="shared" si="63"/>
        <v>0.6965648854961832</v>
      </c>
    </row>
    <row r="121" spans="1:41" ht="12.75">
      <c r="A121" s="198">
        <v>23</v>
      </c>
      <c r="B121" s="202" t="s">
        <v>475</v>
      </c>
      <c r="C121" s="229">
        <f t="shared" si="61"/>
        <v>0.5271946564885495</v>
      </c>
      <c r="D121" s="206" t="s">
        <v>569</v>
      </c>
      <c r="E121" s="206">
        <f t="shared" si="58"/>
        <v>0.5314885496183206</v>
      </c>
      <c r="F121" s="206" t="s">
        <v>569</v>
      </c>
      <c r="G121" s="206">
        <f t="shared" si="55"/>
        <v>0.5362595419847328</v>
      </c>
      <c r="H121" s="206" t="s">
        <v>569</v>
      </c>
      <c r="I121" s="206">
        <f t="shared" si="44"/>
        <v>0.541030534351145</v>
      </c>
      <c r="J121" s="206" t="s">
        <v>569</v>
      </c>
      <c r="K121" s="206">
        <f t="shared" si="45"/>
        <v>0.5458015267175571</v>
      </c>
      <c r="L121" s="206" t="s">
        <v>569</v>
      </c>
      <c r="M121" s="206">
        <f t="shared" si="46"/>
        <v>0.5505725190839693</v>
      </c>
      <c r="N121" s="206" t="s">
        <v>569</v>
      </c>
      <c r="O121" s="206">
        <f t="shared" si="47"/>
        <v>0.5553435114503816</v>
      </c>
      <c r="P121" s="206" t="s">
        <v>569</v>
      </c>
      <c r="Q121" s="208">
        <f t="shared" si="64"/>
        <v>0.5601145038167938</v>
      </c>
      <c r="R121" s="206" t="s">
        <v>570</v>
      </c>
      <c r="S121" s="206">
        <f t="shared" si="49"/>
        <v>0.5648854961832062</v>
      </c>
      <c r="T121" s="206" t="s">
        <v>570</v>
      </c>
      <c r="U121" s="206">
        <f t="shared" si="50"/>
        <v>0.5701335877862596</v>
      </c>
      <c r="V121" s="206" t="s">
        <v>570</v>
      </c>
      <c r="W121" s="206">
        <f t="shared" si="51"/>
        <v>0.5749045801526718</v>
      </c>
      <c r="X121" s="206" t="s">
        <v>570</v>
      </c>
      <c r="Y121" s="206">
        <f t="shared" si="52"/>
        <v>0.5801526717557253</v>
      </c>
      <c r="Z121" s="206" t="s">
        <v>570</v>
      </c>
      <c r="AA121" s="206">
        <f t="shared" si="53"/>
        <v>0.5849236641221374</v>
      </c>
      <c r="AB121" s="206" t="s">
        <v>570</v>
      </c>
      <c r="AC121" s="216">
        <f t="shared" si="54"/>
        <v>0.5901717557251908</v>
      </c>
      <c r="AD121" s="206" t="s">
        <v>570</v>
      </c>
      <c r="AE121" s="206">
        <f t="shared" si="56"/>
        <v>0.5954198473282444</v>
      </c>
      <c r="AF121" s="206" t="s">
        <v>570</v>
      </c>
      <c r="AG121" s="206">
        <f t="shared" si="57"/>
        <v>0.6006679389312977</v>
      </c>
      <c r="AH121" s="238" t="s">
        <v>570</v>
      </c>
      <c r="AI121" s="217">
        <f t="shared" si="59"/>
        <v>0.6059160305343511</v>
      </c>
      <c r="AJ121" s="238" t="s">
        <v>570</v>
      </c>
      <c r="AK121" s="217">
        <f t="shared" si="60"/>
        <v>0.6111641221374045</v>
      </c>
      <c r="AL121" s="238" t="s">
        <v>570</v>
      </c>
      <c r="AM121" s="217">
        <f t="shared" si="62"/>
        <v>0.6164122137404581</v>
      </c>
      <c r="AN121" s="238" t="s">
        <v>570</v>
      </c>
      <c r="AO121" s="218">
        <f t="shared" si="63"/>
        <v>0.6221374045801527</v>
      </c>
    </row>
    <row r="122" spans="1:41" ht="12.75">
      <c r="A122" s="198">
        <v>24</v>
      </c>
      <c r="B122" s="202" t="s">
        <v>474</v>
      </c>
      <c r="C122" s="232">
        <f t="shared" si="61"/>
        <v>0.4701812977099236</v>
      </c>
      <c r="D122" s="206" t="s">
        <v>569</v>
      </c>
      <c r="E122" s="206">
        <f t="shared" si="58"/>
        <v>0.4744751908396945</v>
      </c>
      <c r="F122" s="206" t="s">
        <v>569</v>
      </c>
      <c r="G122" s="206">
        <f t="shared" si="55"/>
        <v>0.47853053435114506</v>
      </c>
      <c r="H122" s="206" t="s">
        <v>569</v>
      </c>
      <c r="I122" s="206">
        <f t="shared" si="44"/>
        <v>0.48282442748091603</v>
      </c>
      <c r="J122" s="206" t="s">
        <v>569</v>
      </c>
      <c r="K122" s="206">
        <f t="shared" si="45"/>
        <v>0.48687977099236646</v>
      </c>
      <c r="L122" s="206" t="s">
        <v>569</v>
      </c>
      <c r="M122" s="206">
        <f t="shared" si="46"/>
        <v>0.4911736641221374</v>
      </c>
      <c r="N122" s="206" t="s">
        <v>569</v>
      </c>
      <c r="O122" s="206">
        <f t="shared" si="47"/>
        <v>0.4954675572519083</v>
      </c>
      <c r="P122" s="206" t="s">
        <v>569</v>
      </c>
      <c r="Q122" s="222">
        <f t="shared" si="64"/>
        <v>0.5</v>
      </c>
      <c r="R122" s="206" t="s">
        <v>570</v>
      </c>
      <c r="S122" s="206">
        <f t="shared" si="49"/>
        <v>0.5047709923664122</v>
      </c>
      <c r="T122" s="206" t="s">
        <v>570</v>
      </c>
      <c r="U122" s="206">
        <f t="shared" si="50"/>
        <v>0.5090648854961832</v>
      </c>
      <c r="V122" s="206" t="s">
        <v>570</v>
      </c>
      <c r="W122" s="206">
        <f t="shared" si="51"/>
        <v>0.5133587786259541</v>
      </c>
      <c r="X122" s="206" t="s">
        <v>570</v>
      </c>
      <c r="Y122" s="206">
        <f t="shared" si="52"/>
        <v>0.5176526717557252</v>
      </c>
      <c r="Z122" s="206" t="s">
        <v>570</v>
      </c>
      <c r="AA122" s="206">
        <f t="shared" si="53"/>
        <v>0.5224236641221373</v>
      </c>
      <c r="AB122" s="206" t="s">
        <v>570</v>
      </c>
      <c r="AC122" s="216">
        <f t="shared" si="54"/>
        <v>0.5271946564885495</v>
      </c>
      <c r="AD122" s="206" t="s">
        <v>570</v>
      </c>
      <c r="AE122" s="206">
        <f t="shared" si="56"/>
        <v>0.5314885496183206</v>
      </c>
      <c r="AF122" s="206" t="s">
        <v>570</v>
      </c>
      <c r="AG122" s="206">
        <f t="shared" si="57"/>
        <v>0.5362595419847328</v>
      </c>
      <c r="AH122" s="238" t="s">
        <v>570</v>
      </c>
      <c r="AI122" s="217">
        <f t="shared" si="59"/>
        <v>0.541030534351145</v>
      </c>
      <c r="AJ122" s="238" t="s">
        <v>570</v>
      </c>
      <c r="AK122" s="217">
        <f t="shared" si="60"/>
        <v>0.5458015267175571</v>
      </c>
      <c r="AL122" s="238" t="s">
        <v>570</v>
      </c>
      <c r="AM122" s="217">
        <f t="shared" si="62"/>
        <v>0.5505725190839693</v>
      </c>
      <c r="AN122" s="238" t="s">
        <v>570</v>
      </c>
      <c r="AO122" s="218">
        <f t="shared" si="63"/>
        <v>0.5553435114503816</v>
      </c>
    </row>
    <row r="123" spans="1:41" ht="12.75">
      <c r="A123" s="198">
        <v>25</v>
      </c>
      <c r="B123" s="202" t="s">
        <v>473</v>
      </c>
      <c r="C123" s="229">
        <f t="shared" si="61"/>
        <v>0.4425095419847328</v>
      </c>
      <c r="D123" s="206" t="s">
        <v>569</v>
      </c>
      <c r="E123" s="206">
        <f t="shared" si="58"/>
        <v>0.4463528413910086</v>
      </c>
      <c r="F123" s="206" t="s">
        <v>569</v>
      </c>
      <c r="G123" s="206">
        <f t="shared" si="55"/>
        <v>0.45038167938931284</v>
      </c>
      <c r="H123" s="206" t="s">
        <v>569</v>
      </c>
      <c r="I123" s="206">
        <f t="shared" si="44"/>
        <v>0.4541984732824427</v>
      </c>
      <c r="J123" s="206" t="s">
        <v>569</v>
      </c>
      <c r="K123" s="206">
        <f t="shared" si="45"/>
        <v>0.4582538167938932</v>
      </c>
      <c r="L123" s="206" t="s">
        <v>569</v>
      </c>
      <c r="M123" s="206">
        <f t="shared" si="46"/>
        <v>0.4623091603053434</v>
      </c>
      <c r="N123" s="206" t="s">
        <v>569</v>
      </c>
      <c r="O123" s="206">
        <f t="shared" si="47"/>
        <v>0.4663645038167938</v>
      </c>
      <c r="P123" s="206" t="s">
        <v>569</v>
      </c>
      <c r="Q123" s="222">
        <f t="shared" si="64"/>
        <v>0.4701812977099236</v>
      </c>
      <c r="R123" s="206" t="s">
        <v>570</v>
      </c>
      <c r="S123" s="206">
        <f t="shared" si="49"/>
        <v>0.4744751908396945</v>
      </c>
      <c r="T123" s="206" t="s">
        <v>570</v>
      </c>
      <c r="U123" s="206">
        <f t="shared" si="50"/>
        <v>0.47853053435114506</v>
      </c>
      <c r="V123" s="206" t="s">
        <v>570</v>
      </c>
      <c r="W123" s="206">
        <f t="shared" si="51"/>
        <v>0.48282442748091603</v>
      </c>
      <c r="X123" s="206" t="s">
        <v>570</v>
      </c>
      <c r="Y123" s="206">
        <f t="shared" si="52"/>
        <v>0.48687977099236646</v>
      </c>
      <c r="Z123" s="206" t="s">
        <v>570</v>
      </c>
      <c r="AA123" s="206">
        <f t="shared" si="53"/>
        <v>0.4911736641221374</v>
      </c>
      <c r="AB123" s="206" t="s">
        <v>570</v>
      </c>
      <c r="AC123" s="206">
        <f t="shared" si="54"/>
        <v>0.4954675572519083</v>
      </c>
      <c r="AD123" s="206" t="s">
        <v>570</v>
      </c>
      <c r="AE123" s="223">
        <f t="shared" si="56"/>
        <v>0.5</v>
      </c>
      <c r="AF123" s="206" t="s">
        <v>570</v>
      </c>
      <c r="AG123" s="206">
        <f t="shared" si="57"/>
        <v>0.5047709923664122</v>
      </c>
      <c r="AH123" s="238" t="s">
        <v>570</v>
      </c>
      <c r="AI123" s="217">
        <f t="shared" si="59"/>
        <v>0.5090648854961832</v>
      </c>
      <c r="AJ123" s="238" t="s">
        <v>570</v>
      </c>
      <c r="AK123" s="217">
        <f t="shared" si="60"/>
        <v>0.5133587786259541</v>
      </c>
      <c r="AL123" s="238" t="s">
        <v>570</v>
      </c>
      <c r="AM123" s="217">
        <f t="shared" si="62"/>
        <v>0.5176526717557252</v>
      </c>
      <c r="AN123" s="238" t="s">
        <v>570</v>
      </c>
      <c r="AO123" s="218">
        <f t="shared" si="63"/>
        <v>0.5224236641221373</v>
      </c>
    </row>
    <row r="124" spans="1:41" ht="13.5" thickBot="1">
      <c r="A124" s="203">
        <v>26</v>
      </c>
      <c r="B124" s="204" t="s">
        <v>472</v>
      </c>
      <c r="C124" s="213">
        <f t="shared" si="61"/>
        <v>0.39503816793893126</v>
      </c>
      <c r="D124" s="210" t="s">
        <v>569</v>
      </c>
      <c r="E124" s="210">
        <f t="shared" si="58"/>
        <v>0.3986164122137404</v>
      </c>
      <c r="F124" s="210" t="s">
        <v>569</v>
      </c>
      <c r="G124" s="210">
        <f t="shared" si="55"/>
        <v>0.401956106870229</v>
      </c>
      <c r="H124" s="210" t="s">
        <v>569</v>
      </c>
      <c r="I124" s="210">
        <f t="shared" si="44"/>
        <v>0.4055343511450381</v>
      </c>
      <c r="J124" s="210" t="s">
        <v>569</v>
      </c>
      <c r="K124" s="210">
        <f t="shared" si="45"/>
        <v>0.4091125954198473</v>
      </c>
      <c r="L124" s="210" t="s">
        <v>569</v>
      </c>
      <c r="M124" s="210">
        <f t="shared" si="46"/>
        <v>0.41269083969465653</v>
      </c>
      <c r="N124" s="210" t="s">
        <v>569</v>
      </c>
      <c r="O124" s="210">
        <f t="shared" si="47"/>
        <v>0.4162690839694656</v>
      </c>
      <c r="P124" s="210" t="s">
        <v>569</v>
      </c>
      <c r="Q124" s="211">
        <f t="shared" si="64"/>
        <v>0.4198473282442748</v>
      </c>
      <c r="R124" s="210" t="s">
        <v>570</v>
      </c>
      <c r="S124" s="210">
        <f t="shared" si="49"/>
        <v>0.4236641221374045</v>
      </c>
      <c r="T124" s="210" t="s">
        <v>570</v>
      </c>
      <c r="U124" s="210">
        <f t="shared" si="50"/>
        <v>0.4272423664122137</v>
      </c>
      <c r="V124" s="210" t="s">
        <v>570</v>
      </c>
      <c r="W124" s="210">
        <f t="shared" si="51"/>
        <v>0.4312977099236641</v>
      </c>
      <c r="X124" s="210" t="s">
        <v>570</v>
      </c>
      <c r="Y124" s="210">
        <f t="shared" si="52"/>
        <v>0.4351145038167939</v>
      </c>
      <c r="Z124" s="210" t="s">
        <v>570</v>
      </c>
      <c r="AA124" s="210">
        <f t="shared" si="53"/>
        <v>0.43869274809160297</v>
      </c>
      <c r="AB124" s="210" t="s">
        <v>570</v>
      </c>
      <c r="AC124" s="230">
        <f t="shared" si="54"/>
        <v>0.4425095419847328</v>
      </c>
      <c r="AD124" s="210" t="s">
        <v>570</v>
      </c>
      <c r="AE124" s="210">
        <f t="shared" si="56"/>
        <v>0.4463528413910086</v>
      </c>
      <c r="AF124" s="210" t="s">
        <v>570</v>
      </c>
      <c r="AG124" s="210">
        <f t="shared" si="57"/>
        <v>0.45038167938931284</v>
      </c>
      <c r="AH124" s="210"/>
      <c r="AI124" s="212"/>
      <c r="AJ124" s="210"/>
      <c r="AK124" s="212"/>
      <c r="AL124" s="210"/>
      <c r="AM124" s="212"/>
      <c r="AN124" s="239" t="s">
        <v>570</v>
      </c>
      <c r="AO124" s="219">
        <f t="shared" si="63"/>
        <v>0.4663645038167938</v>
      </c>
    </row>
  </sheetData>
  <mergeCells count="4">
    <mergeCell ref="I1:Y1"/>
    <mergeCell ref="I33:Y33"/>
    <mergeCell ref="I65:Y65"/>
    <mergeCell ref="I97:Y97"/>
  </mergeCells>
  <printOptions/>
  <pageMargins left="0.75" right="0.75" top="1" bottom="1" header="0.5" footer="0.5"/>
  <pageSetup horizontalDpi="600" verticalDpi="600" orientation="portrait" paperSize="9" r:id="rId3"/>
  <ignoredErrors>
    <ignoredError sqref="Q2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Ozan Yarman</dc:creator>
  <cp:keywords/>
  <dc:description/>
  <cp:lastModifiedBy>Ozan Yarman</cp:lastModifiedBy>
  <cp:lastPrinted>2006-05-15T02:10:22Z</cp:lastPrinted>
  <dcterms:created xsi:type="dcterms:W3CDTF">2006-04-22T20:17:54Z</dcterms:created>
  <dcterms:modified xsi:type="dcterms:W3CDTF">2010-04-19T00:07:40Z</dcterms:modified>
  <cp:category/>
  <cp:version/>
  <cp:contentType/>
  <cp:contentStatus/>
</cp:coreProperties>
</file>